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40743cedcd20ff/Documents/"/>
    </mc:Choice>
  </mc:AlternateContent>
  <xr:revisionPtr revIDLastSave="76" documentId="8_{D6383E3F-F572-49C3-906B-A2FEE3AC47CE}" xr6:coauthVersionLast="47" xr6:coauthVersionMax="47" xr10:uidLastSave="{30DADD14-83E8-447C-9D3D-AD6CC1309787}"/>
  <bookViews>
    <workbookView xWindow="-120" yWindow="-120" windowWidth="29040" windowHeight="15720" activeTab="1" xr2:uid="{1C0CFD8C-D6CC-4F96-93B0-D10F46B5BFA0}"/>
  </bookViews>
  <sheets>
    <sheet name="Summary" sheetId="1" r:id="rId1"/>
    <sheet name="Summary 2" sheetId="7" r:id="rId2"/>
    <sheet name="AZ" sheetId="2" r:id="rId3"/>
    <sheet name="JJ" sheetId="3" r:id="rId4"/>
    <sheet name="Moderna" sheetId="5" r:id="rId5"/>
    <sheet name="Pfizer" sheetId="4" r:id="rId6"/>
    <sheet name="Sputnik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2" i="7"/>
  <c r="C10" i="1"/>
  <c r="E10" i="1"/>
  <c r="B3" i="4"/>
  <c r="C10" i="4" s="1"/>
  <c r="I10" i="6"/>
  <c r="I9" i="6"/>
  <c r="C10" i="6"/>
  <c r="F3" i="6"/>
  <c r="F4" i="6"/>
  <c r="F5" i="6"/>
  <c r="F6" i="6"/>
  <c r="F2" i="6"/>
  <c r="F7" i="6" s="1"/>
  <c r="G6" i="6"/>
  <c r="I6" i="6" s="1"/>
  <c r="C7" i="6"/>
  <c r="D7" i="6"/>
  <c r="E7" i="6"/>
  <c r="B7" i="6"/>
  <c r="G5" i="6"/>
  <c r="I5" i="6" s="1"/>
  <c r="G4" i="6"/>
  <c r="I4" i="6" s="1"/>
  <c r="G2" i="6"/>
  <c r="I2" i="6" s="1"/>
  <c r="F4" i="4"/>
  <c r="G4" i="4"/>
  <c r="I4" i="4" s="1"/>
  <c r="F5" i="4"/>
  <c r="I5" i="4" s="1"/>
  <c r="G5" i="4"/>
  <c r="D3" i="4"/>
  <c r="D4" i="4"/>
  <c r="B4" i="4"/>
  <c r="C3" i="4"/>
  <c r="C4" i="4"/>
  <c r="C7" i="4"/>
  <c r="E7" i="4"/>
  <c r="G3" i="4"/>
  <c r="G2" i="4"/>
  <c r="F2" i="4"/>
  <c r="C7" i="5"/>
  <c r="E4" i="5"/>
  <c r="D4" i="5"/>
  <c r="C4" i="5"/>
  <c r="B4" i="5"/>
  <c r="G3" i="5"/>
  <c r="F3" i="5"/>
  <c r="G2" i="5"/>
  <c r="F2" i="5"/>
  <c r="F2" i="3"/>
  <c r="C7" i="3"/>
  <c r="E4" i="3"/>
  <c r="D4" i="3"/>
  <c r="C4" i="3"/>
  <c r="B4" i="3"/>
  <c r="G3" i="3"/>
  <c r="F3" i="3"/>
  <c r="G2" i="3"/>
  <c r="G4" i="3" s="1"/>
  <c r="C7" i="2"/>
  <c r="C4" i="2"/>
  <c r="D4" i="2"/>
  <c r="E4" i="2"/>
  <c r="F4" i="2"/>
  <c r="B4" i="2"/>
  <c r="I2" i="2"/>
  <c r="F3" i="2"/>
  <c r="I3" i="2" s="1"/>
  <c r="G3" i="2"/>
  <c r="G2" i="2"/>
  <c r="G4" i="2" s="1"/>
  <c r="F2" i="2"/>
  <c r="F3" i="4" l="1"/>
  <c r="B7" i="4"/>
  <c r="G3" i="6"/>
  <c r="G7" i="4"/>
  <c r="D7" i="4"/>
  <c r="F7" i="4"/>
  <c r="I7" i="4" s="1"/>
  <c r="I2" i="4"/>
  <c r="I3" i="4"/>
  <c r="I3" i="5"/>
  <c r="I2" i="5"/>
  <c r="F4" i="5"/>
  <c r="G4" i="5"/>
  <c r="F4" i="3"/>
  <c r="I4" i="3" s="1"/>
  <c r="I3" i="3"/>
  <c r="I2" i="3"/>
  <c r="I4" i="2"/>
  <c r="G7" i="6" l="1"/>
  <c r="I7" i="6" s="1"/>
  <c r="I3" i="6"/>
  <c r="I4" i="5"/>
</calcChain>
</file>

<file path=xl/sharedStrings.xml><?xml version="1.0" encoding="utf-8"?>
<sst xmlns="http://schemas.openxmlformats.org/spreadsheetml/2006/main" count="67" uniqueCount="37">
  <si>
    <t>Moderna</t>
  </si>
  <si>
    <t>Sputnik</t>
  </si>
  <si>
    <t>JJ</t>
  </si>
  <si>
    <t>Astrazeneca</t>
  </si>
  <si>
    <t>Age Strata</t>
  </si>
  <si>
    <t>Study-wise VE</t>
  </si>
  <si>
    <t>Allocation ratio (T:C)</t>
  </si>
  <si>
    <t>AZ</t>
  </si>
  <si>
    <t>Control</t>
  </si>
  <si>
    <t>treatment</t>
  </si>
  <si>
    <t>Control I</t>
  </si>
  <si>
    <t>treat I</t>
  </si>
  <si>
    <t>18-64</t>
  </si>
  <si>
    <t>65+</t>
  </si>
  <si>
    <t>https://www.nejm.org/doi/full/10.1056/NEJMoa2101544</t>
  </si>
  <si>
    <t>moderna</t>
  </si>
  <si>
    <t>https://www.nejm.org/doi/full/10.1056/nejmoa2035389</t>
  </si>
  <si>
    <t>Pfizer</t>
  </si>
  <si>
    <t>pfizer</t>
  </si>
  <si>
    <t>https://www.nejm.org/doi/full/10.1056/nejmoa2034577</t>
  </si>
  <si>
    <t>https://www.nejm.org/doi/full/10.1056/NEJMoa2105290</t>
  </si>
  <si>
    <t>sputnik</t>
  </si>
  <si>
    <t>18-30</t>
  </si>
  <si>
    <t>31-40</t>
  </si>
  <si>
    <t>41-50</t>
  </si>
  <si>
    <t>51-60</t>
  </si>
  <si>
    <t>61+</t>
  </si>
  <si>
    <t>2:1</t>
  </si>
  <si>
    <t>1:1</t>
  </si>
  <si>
    <t>3:1</t>
  </si>
  <si>
    <t>https://www.thelancet.com/journals/lancet/article/PIIS0140-6736(21)00234-8/fulltext</t>
  </si>
  <si>
    <t>Total (n)</t>
  </si>
  <si>
    <t>Lowest VE</t>
  </si>
  <si>
    <t>Highest  VE</t>
  </si>
  <si>
    <t>Success/1000</t>
  </si>
  <si>
    <t>Trials</t>
  </si>
  <si>
    <t>DOI: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</si>
</sst>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"/>
    <numFmt numFmtId="169" formatCode="0.0"/>
  </numFmts>
  <fonts count="2" x14ac:knownFonts="1">
    <font>
      <sz val="11"/>
      <color theme="1"/>
      <name val="Calibri"/>
      <family val="2"/>
      <scheme val="minor"/>
    </font>
    <font>
      <sz val="12"/>
      <color rgb="FF4D4D4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68" fontId="0" fillId="0" borderId="0" xfId="0" applyNumberFormat="1"/>
    <xf numFmtId="49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Number of trial</a:t>
            </a:r>
            <a:r>
              <a:rPr lang="en-AU" baseline="0"/>
              <a:t> repititions needed for each vaccine on average for any one to have all age subgroup efficacies fall within the bounds of those described in the relevant phase III trial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90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'Summary 2'!$A$2:$A$6</c:f>
              <c:strCache>
                <c:ptCount val="5"/>
                <c:pt idx="0">
                  <c:v>Astrazeneca</c:v>
                </c:pt>
                <c:pt idx="1">
                  <c:v>JJ</c:v>
                </c:pt>
                <c:pt idx="2">
                  <c:v>Moderna</c:v>
                </c:pt>
                <c:pt idx="3">
                  <c:v>Pfizer</c:v>
                </c:pt>
                <c:pt idx="4">
                  <c:v>Sputnik</c:v>
                </c:pt>
              </c:strCache>
            </c:strRef>
          </c:cat>
          <c:val>
            <c:numRef>
              <c:f>'Summary 2'!$D$2:$D$6</c:f>
              <c:numCache>
                <c:formatCode>0.0</c:formatCode>
                <c:ptCount val="5"/>
                <c:pt idx="0">
                  <c:v>3.9370078740157481</c:v>
                </c:pt>
                <c:pt idx="1">
                  <c:v>2.1881838074398248</c:v>
                </c:pt>
                <c:pt idx="2">
                  <c:v>2.2421524663677128</c:v>
                </c:pt>
                <c:pt idx="3">
                  <c:v>3.7453183520599249</c:v>
                </c:pt>
                <c:pt idx="4">
                  <c:v>2777.7777777777778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2-4D54-8DBF-4045CEEF7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5"/>
        <c:axId val="1547772543"/>
        <c:axId val="1547773791"/>
      </c:barChart>
      <c:catAx>
        <c:axId val="154777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773791"/>
        <c:crosses val="autoZero"/>
        <c:auto val="1"/>
        <c:lblAlgn val="ctr"/>
        <c:lblOffset val="100"/>
        <c:noMultiLvlLbl val="0"/>
      </c:catAx>
      <c:valAx>
        <c:axId val="154777379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772543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2</xdr:row>
      <xdr:rowOff>61911</xdr:rowOff>
    </xdr:from>
    <xdr:to>
      <xdr:col>20</xdr:col>
      <xdr:colOff>466724</xdr:colOff>
      <xdr:row>31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F6190D-4C3E-4BD5-B867-11341AB7B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C36D8-7BA4-4B3E-B962-B6B54147D608}">
  <dimension ref="A1:S10"/>
  <sheetViews>
    <sheetView workbookViewId="0">
      <selection activeCell="E13" sqref="E13"/>
    </sheetView>
  </sheetViews>
  <sheetFormatPr defaultRowHeight="15" x14ac:dyDescent="0.25"/>
  <cols>
    <col min="1" max="1" width="11.7109375" bestFit="1" customWidth="1"/>
    <col min="3" max="3" width="10" bestFit="1" customWidth="1"/>
    <col min="4" max="4" width="19.42578125" bestFit="1" customWidth="1"/>
    <col min="5" max="5" width="8.42578125" bestFit="1" customWidth="1"/>
    <col min="6" max="6" width="13.7109375" bestFit="1" customWidth="1"/>
    <col min="7" max="7" width="19.140625" bestFit="1" customWidth="1"/>
    <col min="8" max="8" width="19.5703125" bestFit="1" customWidth="1"/>
  </cols>
  <sheetData>
    <row r="1" spans="1:19" x14ac:dyDescent="0.25">
      <c r="S1" t="s">
        <v>34</v>
      </c>
    </row>
    <row r="2" spans="1:19" x14ac:dyDescent="0.25">
      <c r="C2" t="s">
        <v>4</v>
      </c>
      <c r="D2" t="s">
        <v>6</v>
      </c>
      <c r="E2" t="s">
        <v>31</v>
      </c>
      <c r="F2" t="s">
        <v>5</v>
      </c>
      <c r="G2" t="s">
        <v>32</v>
      </c>
      <c r="H2" t="s">
        <v>33</v>
      </c>
      <c r="I2" t="s">
        <v>36</v>
      </c>
    </row>
    <row r="3" spans="1:19" x14ac:dyDescent="0.25">
      <c r="A3" t="s">
        <v>3</v>
      </c>
      <c r="C3">
        <v>2</v>
      </c>
      <c r="D3" s="5" t="s">
        <v>27</v>
      </c>
      <c r="E3">
        <v>26242</v>
      </c>
      <c r="F3" s="4">
        <v>0.73164459696044915</v>
      </c>
      <c r="G3" s="4">
        <v>0.7212907762086791</v>
      </c>
      <c r="H3" s="4">
        <v>0.82602469326934247</v>
      </c>
      <c r="I3" t="s">
        <v>20</v>
      </c>
      <c r="S3">
        <v>254</v>
      </c>
    </row>
    <row r="4" spans="1:19" x14ac:dyDescent="0.25">
      <c r="A4" t="s">
        <v>2</v>
      </c>
      <c r="C4">
        <v>2</v>
      </c>
      <c r="D4" s="5" t="s">
        <v>28</v>
      </c>
      <c r="E4">
        <v>43783</v>
      </c>
      <c r="F4" s="4">
        <v>0.67032462463841314</v>
      </c>
      <c r="G4" s="4">
        <v>0.63921141751330435</v>
      </c>
      <c r="H4" s="4">
        <v>0.76322441238651906</v>
      </c>
      <c r="I4" t="s">
        <v>14</v>
      </c>
      <c r="S4">
        <v>457</v>
      </c>
    </row>
    <row r="5" spans="1:19" x14ac:dyDescent="0.25">
      <c r="A5" t="s">
        <v>0</v>
      </c>
      <c r="C5">
        <v>2</v>
      </c>
      <c r="D5" s="5" t="s">
        <v>28</v>
      </c>
      <c r="E5">
        <v>28207</v>
      </c>
      <c r="F5" s="4">
        <v>0.94152991765397098</v>
      </c>
      <c r="G5" s="4">
        <v>0.86422714878939411</v>
      </c>
      <c r="H5" s="4">
        <v>0.95588997023462119</v>
      </c>
      <c r="I5" t="s">
        <v>16</v>
      </c>
      <c r="S5">
        <v>446</v>
      </c>
    </row>
    <row r="6" spans="1:19" x14ac:dyDescent="0.25">
      <c r="A6" t="s">
        <v>17</v>
      </c>
      <c r="C6">
        <v>4</v>
      </c>
      <c r="D6" s="5" t="s">
        <v>28</v>
      </c>
      <c r="E6">
        <v>35680</v>
      </c>
      <c r="F6" s="4">
        <v>0.94853848999189927</v>
      </c>
      <c r="G6" s="4">
        <v>0.92838547719771281</v>
      </c>
      <c r="H6" s="4">
        <v>1</v>
      </c>
      <c r="I6" t="s">
        <v>19</v>
      </c>
      <c r="S6">
        <v>267</v>
      </c>
    </row>
    <row r="7" spans="1:19" x14ac:dyDescent="0.25">
      <c r="A7" t="s">
        <v>1</v>
      </c>
      <c r="C7">
        <v>5</v>
      </c>
      <c r="D7" s="5" t="s">
        <v>29</v>
      </c>
      <c r="E7">
        <v>19866</v>
      </c>
      <c r="F7" s="4">
        <v>0.91644151337540025</v>
      </c>
      <c r="G7" s="4">
        <v>0.90026414792283682</v>
      </c>
      <c r="H7" s="4">
        <v>0.92711710543379589</v>
      </c>
      <c r="I7" t="s">
        <v>30</v>
      </c>
      <c r="S7">
        <v>0</v>
      </c>
    </row>
    <row r="10" spans="1:19" x14ac:dyDescent="0.25">
      <c r="C10">
        <f>SUM(C3:C7)</f>
        <v>15</v>
      </c>
      <c r="E10">
        <f>SUM(E3:E7)</f>
        <v>153778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95F92-3AB7-494E-AC2B-620C06B6BC0C}">
  <dimension ref="A1:D6"/>
  <sheetViews>
    <sheetView tabSelected="1" workbookViewId="0">
      <selection activeCell="D28" sqref="D28"/>
    </sheetView>
  </sheetViews>
  <sheetFormatPr defaultRowHeight="15" x14ac:dyDescent="0.25"/>
  <sheetData>
    <row r="1" spans="1:4" x14ac:dyDescent="0.25">
      <c r="B1" t="s">
        <v>35</v>
      </c>
    </row>
    <row r="2" spans="1:4" x14ac:dyDescent="0.25">
      <c r="A2" t="s">
        <v>3</v>
      </c>
      <c r="B2">
        <v>1000</v>
      </c>
      <c r="C2">
        <v>254</v>
      </c>
      <c r="D2" s="6">
        <f>B2/C2</f>
        <v>3.9370078740157481</v>
      </c>
    </row>
    <row r="3" spans="1:4" x14ac:dyDescent="0.25">
      <c r="A3" t="s">
        <v>2</v>
      </c>
      <c r="B3">
        <v>1000</v>
      </c>
      <c r="C3">
        <v>457</v>
      </c>
      <c r="D3" s="6">
        <f t="shared" ref="D3:D6" si="0">B3/C3</f>
        <v>2.1881838074398248</v>
      </c>
    </row>
    <row r="4" spans="1:4" x14ac:dyDescent="0.25">
      <c r="A4" t="s">
        <v>0</v>
      </c>
      <c r="B4">
        <v>1000</v>
      </c>
      <c r="C4">
        <v>446</v>
      </c>
      <c r="D4" s="6">
        <f t="shared" si="0"/>
        <v>2.2421524663677128</v>
      </c>
    </row>
    <row r="5" spans="1:4" x14ac:dyDescent="0.25">
      <c r="A5" t="s">
        <v>17</v>
      </c>
      <c r="B5">
        <v>1000</v>
      </c>
      <c r="C5">
        <v>267</v>
      </c>
      <c r="D5" s="6">
        <f t="shared" si="0"/>
        <v>3.7453183520599249</v>
      </c>
    </row>
    <row r="6" spans="1:4" x14ac:dyDescent="0.25">
      <c r="A6" t="s">
        <v>1</v>
      </c>
      <c r="B6">
        <v>50000</v>
      </c>
      <c r="C6">
        <v>18</v>
      </c>
      <c r="D6" s="6">
        <f t="shared" si="0"/>
        <v>2777.7777777777778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20793-DF07-4F21-B7C8-2D1BC255E503}">
  <dimension ref="A1:I7"/>
  <sheetViews>
    <sheetView workbookViewId="0">
      <selection activeCell="J9" sqref="J9"/>
    </sheetView>
  </sheetViews>
  <sheetFormatPr defaultRowHeight="15" x14ac:dyDescent="0.25"/>
  <sheetData>
    <row r="1" spans="1:9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9" ht="15.75" x14ac:dyDescent="0.25">
      <c r="A2" t="s">
        <v>12</v>
      </c>
      <c r="B2" s="1">
        <v>6738</v>
      </c>
      <c r="C2" s="1">
        <v>13996</v>
      </c>
      <c r="D2">
        <v>116</v>
      </c>
      <c r="E2">
        <v>68</v>
      </c>
      <c r="F2">
        <f>B2-D2</f>
        <v>6622</v>
      </c>
      <c r="G2">
        <f>C2-E2</f>
        <v>13928</v>
      </c>
      <c r="I2">
        <f>1-(E2*F2/(D2*G2))</f>
        <v>0.7212907762086791</v>
      </c>
    </row>
    <row r="3" spans="1:9" ht="15.75" x14ac:dyDescent="0.25">
      <c r="A3" t="s">
        <v>13</v>
      </c>
      <c r="B3" s="1">
        <v>1812</v>
      </c>
      <c r="C3" s="1">
        <v>3696</v>
      </c>
      <c r="D3">
        <v>14</v>
      </c>
      <c r="E3">
        <v>5</v>
      </c>
      <c r="F3">
        <f>B3-D3</f>
        <v>1798</v>
      </c>
      <c r="G3">
        <f>C3-E3</f>
        <v>3691</v>
      </c>
      <c r="I3">
        <f>1-(E3*F3/(D3*G3))</f>
        <v>0.82602469326934247</v>
      </c>
    </row>
    <row r="4" spans="1:9" x14ac:dyDescent="0.25">
      <c r="B4">
        <f>SUM(B2:B3)</f>
        <v>8550</v>
      </c>
      <c r="C4">
        <f>SUM(C2:C3)</f>
        <v>17692</v>
      </c>
      <c r="D4">
        <f>SUM(D2:D3)</f>
        <v>130</v>
      </c>
      <c r="E4">
        <f>SUM(E2:E3)</f>
        <v>73</v>
      </c>
      <c r="F4">
        <f>SUM(F2:F3)</f>
        <v>8420</v>
      </c>
      <c r="G4">
        <f>SUM(G2:G3)</f>
        <v>17619</v>
      </c>
      <c r="I4">
        <f>1-(E4*F4/(D4*G4))</f>
        <v>0.73164459696044915</v>
      </c>
    </row>
    <row r="7" spans="1:9" x14ac:dyDescent="0.25">
      <c r="C7">
        <f>SUM(B2:C3)</f>
        <v>26242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8919-A5B4-4DCF-979D-F631328BB41E}">
  <dimension ref="A1:I7"/>
  <sheetViews>
    <sheetView workbookViewId="0">
      <selection activeCell="G10" sqref="G10"/>
    </sheetView>
  </sheetViews>
  <sheetFormatPr defaultRowHeight="15" x14ac:dyDescent="0.25"/>
  <cols>
    <col min="2" max="3" width="10.85546875" bestFit="1" customWidth="1"/>
  </cols>
  <sheetData>
    <row r="1" spans="1:9" x14ac:dyDescent="0.25">
      <c r="A1" t="s">
        <v>2</v>
      </c>
      <c r="B1" t="s">
        <v>8</v>
      </c>
      <c r="C1" t="s">
        <v>9</v>
      </c>
      <c r="D1" t="s">
        <v>10</v>
      </c>
      <c r="E1" t="s">
        <v>11</v>
      </c>
    </row>
    <row r="2" spans="1:9" ht="15.75" x14ac:dyDescent="0.25">
      <c r="A2" t="s">
        <v>12</v>
      </c>
      <c r="B2" s="2">
        <v>14547</v>
      </c>
      <c r="C2" s="2">
        <v>14564</v>
      </c>
      <c r="D2" s="3">
        <v>260</v>
      </c>
      <c r="E2" s="3">
        <v>95</v>
      </c>
      <c r="F2">
        <f>B2-D2</f>
        <v>14287</v>
      </c>
      <c r="G2">
        <f>C2-E2</f>
        <v>14469</v>
      </c>
      <c r="I2">
        <f>1-(E2*F2/(D2*G2))</f>
        <v>0.63921141751330435</v>
      </c>
    </row>
    <row r="3" spans="1:9" ht="15.75" x14ac:dyDescent="0.25">
      <c r="A3" t="s">
        <v>13</v>
      </c>
      <c r="B3" s="2">
        <v>7341</v>
      </c>
      <c r="C3" s="2">
        <v>7331</v>
      </c>
      <c r="D3" s="3">
        <v>88</v>
      </c>
      <c r="E3" s="3">
        <v>21</v>
      </c>
      <c r="F3">
        <f>B3-D3</f>
        <v>7253</v>
      </c>
      <c r="G3">
        <f>C3-E3</f>
        <v>7310</v>
      </c>
      <c r="I3">
        <f>1-(E3*F3/(D3*G3))</f>
        <v>0.76322441238651906</v>
      </c>
    </row>
    <row r="4" spans="1:9" x14ac:dyDescent="0.25">
      <c r="B4">
        <f>SUM(B2:B3)</f>
        <v>21888</v>
      </c>
      <c r="C4">
        <f>SUM(C2:C3)</f>
        <v>21895</v>
      </c>
      <c r="D4">
        <f>SUM(D2:D3)</f>
        <v>348</v>
      </c>
      <c r="E4">
        <f>SUM(E2:E3)</f>
        <v>116</v>
      </c>
      <c r="F4">
        <f>SUM(F2:F3)</f>
        <v>21540</v>
      </c>
      <c r="G4">
        <f>SUM(G2:G3)</f>
        <v>21779</v>
      </c>
      <c r="I4">
        <f>1-(E4*F4/(D4*G4))</f>
        <v>0.67032462463841314</v>
      </c>
    </row>
    <row r="7" spans="1:9" x14ac:dyDescent="0.25">
      <c r="C7">
        <f>SUM(B2:C3)</f>
        <v>43783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1D06-5824-4EA3-AAB0-B612F0CD547B}">
  <dimension ref="A1:I7"/>
  <sheetViews>
    <sheetView workbookViewId="0">
      <selection activeCell="H23" sqref="H23"/>
    </sheetView>
  </sheetViews>
  <sheetFormatPr defaultRowHeight="15" x14ac:dyDescent="0.25"/>
  <sheetData>
    <row r="1" spans="1:9" x14ac:dyDescent="0.25">
      <c r="A1" t="s">
        <v>15</v>
      </c>
      <c r="B1" t="s">
        <v>8</v>
      </c>
      <c r="C1" t="s">
        <v>9</v>
      </c>
      <c r="D1" t="s">
        <v>10</v>
      </c>
      <c r="E1" t="s">
        <v>11</v>
      </c>
    </row>
    <row r="2" spans="1:9" ht="15.75" x14ac:dyDescent="0.25">
      <c r="A2" t="s">
        <v>12</v>
      </c>
      <c r="B2" s="1">
        <v>10521</v>
      </c>
      <c r="C2" s="1">
        <v>10551</v>
      </c>
      <c r="D2">
        <v>156</v>
      </c>
      <c r="E2">
        <v>7</v>
      </c>
      <c r="F2">
        <f>B2-D2</f>
        <v>10365</v>
      </c>
      <c r="G2">
        <f>C2-E2</f>
        <v>10544</v>
      </c>
      <c r="I2">
        <f>1-(E2*F2/(D2*G2))</f>
        <v>0.95588997023462119</v>
      </c>
    </row>
    <row r="3" spans="1:9" ht="15.75" x14ac:dyDescent="0.25">
      <c r="A3" t="s">
        <v>13</v>
      </c>
      <c r="B3" s="1">
        <v>3552</v>
      </c>
      <c r="C3" s="1">
        <v>3583</v>
      </c>
      <c r="D3">
        <v>29</v>
      </c>
      <c r="E3">
        <v>4</v>
      </c>
      <c r="F3">
        <f>B3-D3</f>
        <v>3523</v>
      </c>
      <c r="G3">
        <f>C3-E3</f>
        <v>3579</v>
      </c>
      <c r="I3">
        <f>1-(E3*F3/(D3*G3))</f>
        <v>0.86422714878939411</v>
      </c>
    </row>
    <row r="4" spans="1:9" x14ac:dyDescent="0.25">
      <c r="B4">
        <f>SUM(B2:B3)</f>
        <v>14073</v>
      </c>
      <c r="C4">
        <f>SUM(C2:C3)</f>
        <v>14134</v>
      </c>
      <c r="D4">
        <f>SUM(D2:D3)</f>
        <v>185</v>
      </c>
      <c r="E4">
        <f>SUM(E2:E3)</f>
        <v>11</v>
      </c>
      <c r="F4">
        <f>SUM(F2:F3)</f>
        <v>13888</v>
      </c>
      <c r="G4">
        <f>SUM(G2:G3)</f>
        <v>14123</v>
      </c>
      <c r="I4">
        <f>1-(E4*F4/(D4*G4))</f>
        <v>0.94152991765397065</v>
      </c>
    </row>
    <row r="7" spans="1:9" x14ac:dyDescent="0.25">
      <c r="C7">
        <f>SUM(B2:C3)</f>
        <v>28207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B102-41FD-42B8-AD19-50D2E8DAEC11}">
  <dimension ref="A1:I10"/>
  <sheetViews>
    <sheetView workbookViewId="0">
      <selection activeCell="I7" sqref="A1:XFD1048576"/>
    </sheetView>
  </sheetViews>
  <sheetFormatPr defaultRowHeight="15" x14ac:dyDescent="0.25"/>
  <sheetData>
    <row r="1" spans="1:9" x14ac:dyDescent="0.25">
      <c r="A1" t="s">
        <v>18</v>
      </c>
      <c r="B1" t="s">
        <v>8</v>
      </c>
      <c r="C1" t="s">
        <v>9</v>
      </c>
      <c r="D1" t="s">
        <v>10</v>
      </c>
      <c r="E1" t="s">
        <v>11</v>
      </c>
    </row>
    <row r="2" spans="1:9" ht="15.75" x14ac:dyDescent="0.25">
      <c r="A2" t="s">
        <v>12</v>
      </c>
      <c r="B2" s="1">
        <v>9955</v>
      </c>
      <c r="C2" s="1">
        <v>9897</v>
      </c>
      <c r="D2">
        <v>114</v>
      </c>
      <c r="E2">
        <v>5</v>
      </c>
      <c r="F2">
        <f>B2-D2</f>
        <v>9841</v>
      </c>
      <c r="G2">
        <f>C2-E2</f>
        <v>9892</v>
      </c>
      <c r="I2">
        <f>1-(E2*F2/(D2*G2))</f>
        <v>0.9563664772525734</v>
      </c>
    </row>
    <row r="3" spans="1:9" ht="15.75" x14ac:dyDescent="0.25">
      <c r="A3" t="s">
        <v>13</v>
      </c>
      <c r="B3" s="1">
        <f>7543-B4-B5</f>
        <v>3663</v>
      </c>
      <c r="C3" s="1">
        <f>7500-C4-C5</f>
        <v>3652</v>
      </c>
      <c r="D3">
        <f>48-D4-D5</f>
        <v>29</v>
      </c>
      <c r="E3">
        <v>2</v>
      </c>
      <c r="F3">
        <f>B3-D3</f>
        <v>3634</v>
      </c>
      <c r="G3">
        <f>C3-E3</f>
        <v>3650</v>
      </c>
      <c r="I3">
        <f>1-(E3*F3/(D3*G3))</f>
        <v>0.93133679735474728</v>
      </c>
    </row>
    <row r="4" spans="1:9" x14ac:dyDescent="0.25">
      <c r="B4">
        <f>3880-B5</f>
        <v>3095</v>
      </c>
      <c r="C4">
        <f>3848-C5</f>
        <v>3074</v>
      </c>
      <c r="D4">
        <f>19-D5</f>
        <v>14</v>
      </c>
      <c r="E4">
        <v>1</v>
      </c>
      <c r="F4">
        <f>B4-D4</f>
        <v>3081</v>
      </c>
      <c r="G4">
        <f>C4-E4</f>
        <v>3073</v>
      </c>
      <c r="I4">
        <f>1-(E4*F4/(D4*G4))</f>
        <v>0.92838547719771281</v>
      </c>
    </row>
    <row r="5" spans="1:9" x14ac:dyDescent="0.25">
      <c r="B5">
        <v>785</v>
      </c>
      <c r="C5">
        <v>774</v>
      </c>
      <c r="D5">
        <v>5</v>
      </c>
      <c r="E5">
        <v>0</v>
      </c>
      <c r="F5">
        <f>B5-D5</f>
        <v>780</v>
      </c>
      <c r="G5">
        <f>C5-E5</f>
        <v>774</v>
      </c>
      <c r="I5">
        <f>1-(E5*F5/(D5*G5))</f>
        <v>1</v>
      </c>
    </row>
    <row r="7" spans="1:9" x14ac:dyDescent="0.25">
      <c r="B7">
        <f>SUM(B2:B5)</f>
        <v>17498</v>
      </c>
      <c r="C7">
        <f t="shared" ref="C7:I7" si="0">SUM(C2:C5)</f>
        <v>17397</v>
      </c>
      <c r="D7">
        <f t="shared" si="0"/>
        <v>162</v>
      </c>
      <c r="E7">
        <f t="shared" si="0"/>
        <v>8</v>
      </c>
      <c r="F7">
        <f t="shared" si="0"/>
        <v>17336</v>
      </c>
      <c r="G7">
        <f t="shared" si="0"/>
        <v>17389</v>
      </c>
      <c r="I7">
        <f>1-(E7*F7/(D7*G7))</f>
        <v>0.95076779772085229</v>
      </c>
    </row>
    <row r="10" spans="1:9" x14ac:dyDescent="0.25">
      <c r="C10">
        <f>SUM(B2:C5)</f>
        <v>34895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983F7-871D-425B-91BD-4099085420B2}">
  <dimension ref="A1:I10"/>
  <sheetViews>
    <sheetView workbookViewId="0">
      <selection activeCell="M14" sqref="M14"/>
    </sheetView>
  </sheetViews>
  <sheetFormatPr defaultRowHeight="15" x14ac:dyDescent="0.25"/>
  <sheetData>
    <row r="1" spans="1:9" x14ac:dyDescent="0.25">
      <c r="A1" t="s">
        <v>21</v>
      </c>
      <c r="B1" t="s">
        <v>8</v>
      </c>
      <c r="C1" t="s">
        <v>9</v>
      </c>
      <c r="D1" t="s">
        <v>10</v>
      </c>
      <c r="E1" t="s">
        <v>11</v>
      </c>
    </row>
    <row r="2" spans="1:9" ht="15.75" x14ac:dyDescent="0.25">
      <c r="A2" t="s">
        <v>22</v>
      </c>
      <c r="B2" s="1">
        <v>521</v>
      </c>
      <c r="C2" s="1">
        <v>1596</v>
      </c>
      <c r="D2">
        <v>4</v>
      </c>
      <c r="E2">
        <v>1</v>
      </c>
      <c r="F2">
        <f>B2-D2</f>
        <v>517</v>
      </c>
      <c r="G2">
        <f>C2-E2</f>
        <v>1595</v>
      </c>
      <c r="I2">
        <f>1-(E2*F2/(D2*G2))</f>
        <v>0.91896551724137931</v>
      </c>
    </row>
    <row r="3" spans="1:9" ht="15.75" x14ac:dyDescent="0.25">
      <c r="A3" t="s">
        <v>23</v>
      </c>
      <c r="B3" s="1">
        <v>1259</v>
      </c>
      <c r="C3" s="1">
        <v>3848</v>
      </c>
      <c r="D3">
        <v>13</v>
      </c>
      <c r="E3">
        <v>4</v>
      </c>
      <c r="F3">
        <f t="shared" ref="F3:F6" si="0">B3-D3</f>
        <v>1246</v>
      </c>
      <c r="G3">
        <f>C3-E3</f>
        <v>3844</v>
      </c>
      <c r="I3">
        <f>1-(E3*F3/(D3*G3))</f>
        <v>0.90026414792283682</v>
      </c>
    </row>
    <row r="4" spans="1:9" x14ac:dyDescent="0.25">
      <c r="A4" t="s">
        <v>24</v>
      </c>
      <c r="B4">
        <v>1443</v>
      </c>
      <c r="C4">
        <v>4399</v>
      </c>
      <c r="D4">
        <v>15</v>
      </c>
      <c r="E4">
        <v>4</v>
      </c>
      <c r="F4">
        <f t="shared" si="0"/>
        <v>1428</v>
      </c>
      <c r="G4">
        <f>C4-E4</f>
        <v>4395</v>
      </c>
      <c r="I4">
        <f>1-(E4*F4/(D4*G4))</f>
        <v>0.91335608646188848</v>
      </c>
    </row>
    <row r="5" spans="1:9" x14ac:dyDescent="0.25">
      <c r="A5" t="s">
        <v>25</v>
      </c>
      <c r="B5">
        <v>1146</v>
      </c>
      <c r="C5">
        <v>3510</v>
      </c>
      <c r="D5">
        <v>22</v>
      </c>
      <c r="E5">
        <v>5</v>
      </c>
      <c r="F5">
        <f t="shared" si="0"/>
        <v>1124</v>
      </c>
      <c r="G5">
        <f>C5-E5</f>
        <v>3505</v>
      </c>
      <c r="I5">
        <f>1-(E5*F5/(D5*G5))</f>
        <v>0.92711710543379589</v>
      </c>
    </row>
    <row r="6" spans="1:9" x14ac:dyDescent="0.25">
      <c r="A6" t="s">
        <v>26</v>
      </c>
      <c r="B6">
        <v>533</v>
      </c>
      <c r="C6">
        <v>1611</v>
      </c>
      <c r="D6">
        <v>8</v>
      </c>
      <c r="E6">
        <v>2</v>
      </c>
      <c r="F6">
        <f t="shared" si="0"/>
        <v>525</v>
      </c>
      <c r="G6">
        <f>C6-E6</f>
        <v>1609</v>
      </c>
      <c r="I6">
        <f>1-(E6*F6/(D6*G6))</f>
        <v>0.91842759477936609</v>
      </c>
    </row>
    <row r="7" spans="1:9" x14ac:dyDescent="0.25">
      <c r="B7">
        <f>SUM(B2:B6)</f>
        <v>4902</v>
      </c>
      <c r="C7">
        <f t="shared" ref="C7:G7" si="1">SUM(C2:C6)</f>
        <v>14964</v>
      </c>
      <c r="D7">
        <f t="shared" si="1"/>
        <v>62</v>
      </c>
      <c r="E7">
        <f t="shared" si="1"/>
        <v>16</v>
      </c>
      <c r="F7">
        <f t="shared" si="1"/>
        <v>4840</v>
      </c>
      <c r="G7">
        <f t="shared" si="1"/>
        <v>14948</v>
      </c>
      <c r="I7">
        <f>1-(E7*F7/(D7*G7))</f>
        <v>0.91644151337540025</v>
      </c>
    </row>
    <row r="9" spans="1:9" x14ac:dyDescent="0.25">
      <c r="I9">
        <f>MIN(I2:I7)</f>
        <v>0.90026414792283682</v>
      </c>
    </row>
    <row r="10" spans="1:9" x14ac:dyDescent="0.25">
      <c r="C10">
        <f>SUM(B7:C7)</f>
        <v>19866</v>
      </c>
      <c r="I10">
        <f>MAX(I2:I7)</f>
        <v>0.92711710543379589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Summary 2</vt:lpstr>
      <vt:lpstr>AZ</vt:lpstr>
      <vt:lpstr>JJ</vt:lpstr>
      <vt:lpstr>Moderna</vt:lpstr>
      <vt:lpstr>Pfizer</vt:lpstr>
      <vt:lpstr>Sputnik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Sheldrick</dc:creator>
  <cp:lastModifiedBy>Kyle Sheldrick</cp:lastModifiedBy>
  <dcterms:created xsi:type="dcterms:W3CDTF">2022-01-19T01:42:23Z</dcterms:created>
  <dcterms:modified xsi:type="dcterms:W3CDTF">2022-01-22T01:56:22Z</dcterms:modified>
</cp:coreProperties>
</file>