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文案内容\客户资料\成品\A054矿区日记帐-红丽2026.8.31\进销存\"/>
    </mc:Choice>
  </mc:AlternateContent>
  <bookViews>
    <workbookView windowWidth="28800" windowHeight="12375" firstSheet="1" activeTab="1"/>
  </bookViews>
  <sheets>
    <sheet name="货柜" sheetId="2" state="hidden" r:id="rId1"/>
    <sheet name="货柜为准校对" sheetId="4" r:id="rId2"/>
    <sheet name="Sheet3" sheetId="3" r:id="rId3"/>
  </sheets>
  <definedNames>
    <definedName name="_xlnm._FilterDatabase" localSheetId="1" hidden="1">货柜为准校对!$A$2:$AL$155</definedName>
    <definedName name="_xlnm._FilterDatabase" localSheetId="2" hidden="1">Sheet3!$A$2:$R$111</definedName>
  </definedNames>
  <calcPr calcId="191029" iterate="1" iterateCount="1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T3" authorId="0">
      <text>
        <r>
          <rPr>
            <sz val="9"/>
            <rFont val="宋体"/>
            <charset val="134"/>
          </rPr>
          <t xml:space="preserve">小费3000美金2个货柜减税
</t>
        </r>
      </text>
    </comment>
    <comment ref="Z3" authorId="0">
      <text>
        <r>
          <rPr>
            <sz val="9"/>
            <rFont val="宋体"/>
            <charset val="134"/>
          </rPr>
          <t xml:space="preserve">27190000
</t>
        </r>
      </text>
    </comment>
    <comment ref="AB3" authorId="0">
      <text>
        <r>
          <rPr>
            <sz val="9"/>
            <rFont val="宋体"/>
            <charset val="134"/>
          </rPr>
          <t>T439EAK
T840CSC集装箱超重小费</t>
        </r>
      </text>
    </comment>
    <comment ref="T4" authorId="0">
      <text>
        <r>
          <rPr>
            <sz val="9"/>
            <rFont val="宋体"/>
            <charset val="134"/>
          </rPr>
          <t xml:space="preserve">小费3000美金2个货柜减税
</t>
        </r>
      </text>
    </comment>
    <comment ref="L5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T5" authorId="0">
      <text>
        <r>
          <rPr>
            <sz val="9"/>
            <rFont val="宋体"/>
            <charset val="134"/>
          </rPr>
          <t>滞箱费</t>
        </r>
      </text>
    </comment>
    <comment ref="X5" authorId="0">
      <text>
        <r>
          <rPr>
            <sz val="9"/>
            <rFont val="宋体"/>
            <charset val="134"/>
          </rPr>
          <t>1月23日付1080万
1月23日付1000万
2月3日付1760万</t>
        </r>
      </text>
    </comment>
    <comment ref="L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T6" authorId="0">
      <text>
        <r>
          <rPr>
            <sz val="9"/>
            <rFont val="宋体"/>
            <charset val="134"/>
          </rPr>
          <t>滞箱费</t>
        </r>
      </text>
    </comment>
    <comment ref="T7" authorId="0">
      <text>
        <r>
          <rPr>
            <sz val="9"/>
            <rFont val="宋体"/>
            <charset val="134"/>
          </rPr>
          <t>滞箱费</t>
        </r>
      </text>
    </comment>
    <comment ref="N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L11" authorId="0">
      <text>
        <r>
          <rPr>
            <b/>
            <sz val="9"/>
            <rFont val="宋体"/>
            <charset val="134"/>
          </rPr>
          <t>3月5日 TBS 709180</t>
        </r>
      </text>
    </comment>
    <comment ref="M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N11" authorId="0">
      <text>
        <r>
          <rPr>
            <b/>
            <sz val="9"/>
            <rFont val="宋体"/>
            <charset val="134"/>
          </rPr>
          <t>3月5日 付266.88美金</t>
        </r>
        <r>
          <rPr>
            <sz val="9"/>
            <rFont val="宋体"/>
            <charset val="134"/>
          </rPr>
          <t xml:space="preserve">
</t>
        </r>
      </text>
    </comment>
    <comment ref="O11" authorId="0">
      <text>
        <r>
          <rPr>
            <sz val="9"/>
            <rFont val="宋体"/>
            <charset val="134"/>
          </rPr>
          <t xml:space="preserve">3月2日付港口费3152625.95
</t>
        </r>
      </text>
    </comment>
    <comment ref="P11" authorId="0">
      <text>
        <r>
          <rPr>
            <sz val="9"/>
            <rFont val="宋体"/>
            <charset val="134"/>
          </rPr>
          <t>144吨</t>
        </r>
      </text>
    </comment>
    <comment ref="U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V11" authorId="0">
      <text>
        <r>
          <rPr>
            <b/>
            <sz val="9"/>
            <rFont val="宋体"/>
            <charset val="134"/>
          </rPr>
          <t>3月6日4665484</t>
        </r>
        <r>
          <rPr>
            <sz val="9"/>
            <rFont val="宋体"/>
            <charset val="134"/>
          </rPr>
          <t xml:space="preserve">
3月5日70万</t>
        </r>
      </text>
    </comment>
    <comment ref="W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X11" authorId="0">
      <text>
        <r>
          <rPr>
            <sz val="9"/>
            <rFont val="宋体"/>
            <charset val="134"/>
          </rPr>
          <t xml:space="preserve">运费1127万
</t>
        </r>
      </text>
    </comment>
    <comment ref="Z11" authorId="0">
      <text>
        <r>
          <rPr>
            <sz val="9"/>
            <rFont val="宋体"/>
            <charset val="134"/>
          </rPr>
          <t>海关税：29558776
海关税：21772501
免税小费：1000万</t>
        </r>
      </text>
    </comment>
    <comment ref="AD11" authorId="0">
      <text>
        <r>
          <rPr>
            <b/>
            <sz val="9"/>
            <rFont val="宋体"/>
            <charset val="134"/>
          </rPr>
          <t>3-13付EDAN清关费用
1180000+262729+500万</t>
        </r>
        <r>
          <rPr>
            <sz val="9"/>
            <rFont val="宋体"/>
            <charset val="134"/>
          </rPr>
          <t xml:space="preserve">
</t>
        </r>
      </text>
    </comment>
    <comment ref="P13" authorId="0">
      <text>
        <r>
          <rPr>
            <sz val="9"/>
            <rFont val="宋体"/>
            <charset val="134"/>
          </rPr>
          <t xml:space="preserve">3月11日付2个货柜
MSMU9007511
MSMU9008082
港杂费3422389
</t>
        </r>
      </text>
    </comment>
    <comment ref="Q13" authorId="0">
      <text/>
    </comment>
    <comment ref="V13" authorId="0">
      <text>
        <r>
          <rPr>
            <sz val="9"/>
            <rFont val="宋体"/>
            <charset val="134"/>
          </rPr>
          <t>3月12日堆场服务费
4469958</t>
        </r>
      </text>
    </comment>
    <comment ref="X13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Z13" authorId="0">
      <text>
        <r>
          <rPr>
            <sz val="9"/>
            <rFont val="宋体"/>
            <charset val="134"/>
          </rPr>
          <t>海关税12841
     12813
     23796492
 免税1000万</t>
        </r>
      </text>
    </comment>
    <comment ref="AD13" authorId="0">
      <text>
        <r>
          <rPr>
            <sz val="9"/>
            <rFont val="宋体"/>
            <charset val="134"/>
          </rPr>
          <t>4月8日698万</t>
        </r>
      </text>
    </comment>
    <comment ref="X14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L15" authorId="0">
      <text>
        <r>
          <rPr>
            <sz val="9"/>
            <rFont val="宋体"/>
            <charset val="134"/>
          </rPr>
          <t>3-12付MEDUR9140225
5个货柜检验局费
180000</t>
        </r>
      </text>
    </comment>
    <comment ref="O15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P15" authorId="0">
      <text>
        <r>
          <rPr>
            <sz val="9"/>
            <rFont val="宋体"/>
            <charset val="134"/>
          </rPr>
          <t xml:space="preserve">3月11日付5个货柜港杂费7188272
</t>
        </r>
      </text>
    </comment>
    <comment ref="U15" authorId="0">
      <text>
        <r>
          <rPr>
            <sz val="9"/>
            <rFont val="宋体"/>
            <charset val="134"/>
          </rPr>
          <t xml:space="preserve">
</t>
        </r>
      </text>
    </comment>
    <comment ref="V15" authorId="0">
      <text>
        <r>
          <rPr>
            <b/>
            <sz val="9"/>
            <rFont val="宋体"/>
            <charset val="134"/>
          </rPr>
          <t>3-17付提单5个柜堆场费12547087</t>
        </r>
        <r>
          <rPr>
            <sz val="9"/>
            <rFont val="宋体"/>
            <charset val="134"/>
          </rPr>
          <t xml:space="preserve">
</t>
        </r>
      </text>
    </comment>
    <comment ref="X15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Z15" authorId="0">
      <text>
        <r>
          <rPr>
            <sz val="9"/>
            <rFont val="宋体"/>
            <charset val="134"/>
          </rPr>
          <t>海关税104394597
      12813
      12880
免税 2000万</t>
        </r>
      </text>
    </comment>
    <comment ref="AE15" authorId="0">
      <text>
        <r>
          <rPr>
            <sz val="9"/>
            <rFont val="宋体"/>
            <charset val="134"/>
          </rPr>
          <t>26年3月22日此集装箱运到三矿</t>
        </r>
      </text>
    </comment>
    <comment ref="P16" authorId="0">
      <text>
        <r>
          <rPr>
            <sz val="9"/>
            <rFont val="宋体"/>
            <charset val="134"/>
          </rPr>
          <t xml:space="preserve">付5个货柜港杂费7188272
</t>
        </r>
      </text>
    </comment>
    <comment ref="U16" authorId="0">
      <text>
        <r>
          <rPr>
            <sz val="9"/>
            <rFont val="宋体"/>
            <charset val="134"/>
          </rPr>
          <t xml:space="preserve">
</t>
        </r>
      </text>
    </comment>
    <comment ref="V16" authorId="0">
      <text>
        <r>
          <rPr>
            <b/>
            <sz val="9"/>
            <rFont val="宋体"/>
            <charset val="134"/>
          </rPr>
          <t>3-17付提单5个柜堆场费12547087</t>
        </r>
        <r>
          <rPr>
            <sz val="9"/>
            <rFont val="宋体"/>
            <charset val="134"/>
          </rPr>
          <t xml:space="preserve">
</t>
        </r>
      </text>
    </comment>
    <comment ref="X16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P17" authorId="0">
      <text>
        <r>
          <rPr>
            <sz val="9"/>
            <rFont val="宋体"/>
            <charset val="134"/>
          </rPr>
          <t xml:space="preserve">付5个货柜港杂费7188272
</t>
        </r>
      </text>
    </comment>
    <comment ref="U17" authorId="0">
      <text>
        <r>
          <rPr>
            <sz val="9"/>
            <rFont val="宋体"/>
            <charset val="134"/>
          </rPr>
          <t xml:space="preserve">
</t>
        </r>
      </text>
    </comment>
    <comment ref="V17" authorId="0">
      <text>
        <r>
          <rPr>
            <b/>
            <sz val="9"/>
            <rFont val="宋体"/>
            <charset val="134"/>
          </rPr>
          <t>3-17付提单5个柜堆场费12547087</t>
        </r>
        <r>
          <rPr>
            <sz val="9"/>
            <rFont val="宋体"/>
            <charset val="134"/>
          </rPr>
          <t xml:space="preserve">
</t>
        </r>
      </text>
    </comment>
    <comment ref="X17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P18" authorId="0">
      <text>
        <r>
          <rPr>
            <sz val="9"/>
            <rFont val="宋体"/>
            <charset val="134"/>
          </rPr>
          <t xml:space="preserve">付5个货柜港杂费7188272
</t>
        </r>
      </text>
    </comment>
    <comment ref="U18" authorId="0">
      <text>
        <r>
          <rPr>
            <sz val="9"/>
            <rFont val="宋体"/>
            <charset val="134"/>
          </rPr>
          <t xml:space="preserve">
</t>
        </r>
      </text>
    </comment>
    <comment ref="V18" authorId="0">
      <text>
        <r>
          <rPr>
            <b/>
            <sz val="9"/>
            <rFont val="宋体"/>
            <charset val="134"/>
          </rPr>
          <t>3-17付提单5个柜堆场费12547087</t>
        </r>
        <r>
          <rPr>
            <sz val="9"/>
            <rFont val="宋体"/>
            <charset val="134"/>
          </rPr>
          <t xml:space="preserve">
</t>
        </r>
      </text>
    </comment>
    <comment ref="X18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P19" authorId="0">
      <text>
        <r>
          <rPr>
            <sz val="9"/>
            <rFont val="宋体"/>
            <charset val="134"/>
          </rPr>
          <t xml:space="preserve">付5个货柜港杂费7188272
</t>
        </r>
      </text>
    </comment>
    <comment ref="U19" authorId="0">
      <text>
        <r>
          <rPr>
            <sz val="9"/>
            <rFont val="宋体"/>
            <charset val="134"/>
          </rPr>
          <t xml:space="preserve">
</t>
        </r>
      </text>
    </comment>
    <comment ref="V19" authorId="0">
      <text>
        <r>
          <rPr>
            <b/>
            <sz val="9"/>
            <rFont val="宋体"/>
            <charset val="134"/>
          </rPr>
          <t>3-17付提单5个柜堆场费12547087</t>
        </r>
        <r>
          <rPr>
            <sz val="9"/>
            <rFont val="宋体"/>
            <charset val="134"/>
          </rPr>
          <t xml:space="preserve">
</t>
        </r>
      </text>
    </comment>
    <comment ref="X19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L20" authorId="0">
      <text>
        <r>
          <rPr>
            <sz val="9"/>
            <rFont val="宋体"/>
            <charset val="134"/>
          </rPr>
          <t>3-11付MEDUR9399664TBS费用
189000</t>
        </r>
      </text>
    </comment>
    <comment ref="N20" authorId="0">
      <text>
        <r>
          <rPr>
            <sz val="9"/>
            <rFont val="宋体"/>
            <charset val="134"/>
          </rPr>
          <t>266</t>
        </r>
      </text>
    </comment>
    <comment ref="P20" authorId="0">
      <text>
        <r>
          <rPr>
            <sz val="9"/>
            <rFont val="宋体"/>
            <charset val="134"/>
          </rPr>
          <t>3月20日付港杂费2878014</t>
        </r>
      </text>
    </comment>
    <comment ref="X20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Z20" authorId="0">
      <text>
        <r>
          <rPr>
            <sz val="9"/>
            <rFont val="宋体"/>
            <charset val="134"/>
          </rPr>
          <t>2月3日付税款27103703
2月3日付税款9865007
2月3日付免税900万</t>
        </r>
      </text>
    </comment>
    <comment ref="AB20" authorId="0">
      <text>
        <r>
          <rPr>
            <sz val="9"/>
            <rFont val="宋体"/>
            <charset val="134"/>
          </rPr>
          <t>补税6096117</t>
        </r>
      </text>
    </comment>
    <comment ref="X21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N22" authorId="0">
      <text>
        <r>
          <rPr>
            <sz val="9"/>
            <rFont val="宋体"/>
            <charset val="134"/>
          </rPr>
          <t xml:space="preserve">多付18美金
</t>
        </r>
      </text>
    </comment>
    <comment ref="T24" authorId="0">
      <text>
        <r>
          <rPr>
            <sz val="9"/>
            <rFont val="宋体"/>
            <charset val="134"/>
          </rPr>
          <t>4月1日延误费2834.36*2650=7511054</t>
        </r>
      </text>
    </comment>
    <comment ref="Z25" authorId="0">
      <text>
        <r>
          <rPr>
            <sz val="9"/>
            <rFont val="宋体"/>
            <charset val="134"/>
          </rPr>
          <t>3月9日1海关税12764277
TBS+海关减税500万</t>
        </r>
      </text>
    </comment>
    <comment ref="Z26" authorId="0">
      <text>
        <r>
          <rPr>
            <sz val="9"/>
            <rFont val="宋体"/>
            <charset val="134"/>
          </rPr>
          <t>1海关税6298687
TBS+海关减税500万</t>
        </r>
      </text>
    </comment>
    <comment ref="Z27" authorId="0">
      <text>
        <r>
          <rPr>
            <b/>
            <sz val="9"/>
            <rFont val="宋体"/>
            <charset val="134"/>
          </rPr>
          <t xml:space="preserve">3月19日免税减税费用500万
</t>
        </r>
        <r>
          <rPr>
            <sz val="9"/>
            <rFont val="宋体"/>
            <charset val="134"/>
          </rPr>
          <t>海关税15046367</t>
        </r>
      </text>
    </comment>
    <comment ref="AB41" authorId="0">
      <text>
        <r>
          <rPr>
            <sz val="9"/>
            <rFont val="宋体"/>
            <charset val="134"/>
          </rPr>
          <t>化学品证</t>
        </r>
      </text>
    </comment>
    <comment ref="AB42" authorId="0">
      <text>
        <r>
          <rPr>
            <sz val="9"/>
            <rFont val="宋体"/>
            <charset val="134"/>
          </rPr>
          <t>化学品证</t>
        </r>
      </text>
    </comment>
    <comment ref="AB43" authorId="0">
      <text>
        <r>
          <rPr>
            <sz val="9"/>
            <rFont val="宋体"/>
            <charset val="134"/>
          </rPr>
          <t>化学品证</t>
        </r>
      </text>
    </comment>
    <comment ref="AB44" authorId="0">
      <text>
        <r>
          <rPr>
            <sz val="9"/>
            <rFont val="宋体"/>
            <charset val="134"/>
          </rPr>
          <t>化学品证</t>
        </r>
      </text>
    </comment>
    <comment ref="AB45" authorId="0">
      <text>
        <r>
          <rPr>
            <sz val="9"/>
            <rFont val="宋体"/>
            <charset val="134"/>
          </rPr>
          <t>化学品证</t>
        </r>
      </text>
    </comment>
    <comment ref="AB46" authorId="0">
      <text>
        <r>
          <rPr>
            <sz val="9"/>
            <rFont val="宋体"/>
            <charset val="134"/>
          </rPr>
          <t>化学品证</t>
        </r>
      </text>
    </comment>
    <comment ref="AB47" authorId="0">
      <text>
        <r>
          <rPr>
            <sz val="9"/>
            <rFont val="宋体"/>
            <charset val="134"/>
          </rPr>
          <t>化学品证</t>
        </r>
      </text>
    </comment>
    <comment ref="AB48" authorId="0">
      <text>
        <r>
          <rPr>
            <sz val="9"/>
            <rFont val="宋体"/>
            <charset val="134"/>
          </rPr>
          <t>小费</t>
        </r>
      </text>
    </comment>
    <comment ref="AB53" authorId="0">
      <text>
        <r>
          <rPr>
            <sz val="9"/>
            <rFont val="宋体"/>
            <charset val="134"/>
          </rPr>
          <t>化学品证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T3" authorId="0">
      <text>
        <r>
          <rPr>
            <sz val="9"/>
            <rFont val="宋体"/>
            <charset val="134"/>
          </rPr>
          <t xml:space="preserve">小费3000美金2个货柜减税
</t>
        </r>
      </text>
    </comment>
    <comment ref="Z3" authorId="0">
      <text>
        <r>
          <rPr>
            <sz val="9"/>
            <rFont val="宋体"/>
            <charset val="134"/>
          </rPr>
          <t xml:space="preserve">27190000
</t>
        </r>
      </text>
    </comment>
    <comment ref="AB3" authorId="0">
      <text>
        <r>
          <rPr>
            <sz val="9"/>
            <rFont val="宋体"/>
            <charset val="134"/>
          </rPr>
          <t>T439EAK
T840CSC集装箱超重小费</t>
        </r>
      </text>
    </comment>
    <comment ref="T4" authorId="0">
      <text>
        <r>
          <rPr>
            <sz val="9"/>
            <rFont val="宋体"/>
            <charset val="134"/>
          </rPr>
          <t xml:space="preserve">小费3000美金2个货柜减税
</t>
        </r>
      </text>
    </comment>
    <comment ref="M5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T5" authorId="0">
      <text>
        <r>
          <rPr>
            <sz val="9"/>
            <rFont val="宋体"/>
            <charset val="134"/>
          </rPr>
          <t>滞箱费</t>
        </r>
      </text>
    </comment>
    <comment ref="X5" authorId="0">
      <text>
        <r>
          <rPr>
            <sz val="9"/>
            <rFont val="宋体"/>
            <charset val="134"/>
          </rPr>
          <t>1月23日付1080万
1月23日付1000万
2月3日付1760万</t>
        </r>
      </text>
    </comment>
    <comment ref="M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T6" authorId="0">
      <text>
        <r>
          <rPr>
            <sz val="9"/>
            <rFont val="宋体"/>
            <charset val="134"/>
          </rPr>
          <t>滞箱费</t>
        </r>
      </text>
    </comment>
    <comment ref="T7" authorId="0">
      <text>
        <r>
          <rPr>
            <sz val="9"/>
            <rFont val="宋体"/>
            <charset val="134"/>
          </rPr>
          <t>滞箱费</t>
        </r>
      </text>
    </comment>
    <comment ref="O8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M11" authorId="0">
      <text>
        <r>
          <rPr>
            <b/>
            <sz val="9"/>
            <rFont val="宋体"/>
            <charset val="134"/>
          </rPr>
          <t>3月5日 TBS 709180</t>
        </r>
      </text>
    </comment>
    <comment ref="N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O11" authorId="0">
      <text>
        <r>
          <rPr>
            <b/>
            <sz val="9"/>
            <rFont val="宋体"/>
            <charset val="134"/>
          </rPr>
          <t>3月5日 付266.88美金</t>
        </r>
        <r>
          <rPr>
            <sz val="9"/>
            <rFont val="宋体"/>
            <charset val="134"/>
          </rPr>
          <t xml:space="preserve">
</t>
        </r>
      </text>
    </comment>
    <comment ref="P11" authorId="0">
      <text>
        <r>
          <rPr>
            <sz val="9"/>
            <rFont val="宋体"/>
            <charset val="134"/>
          </rPr>
          <t xml:space="preserve">3月2日付港口费3152625.95
</t>
        </r>
      </text>
    </comment>
    <comment ref="Q11" authorId="0">
      <text>
        <r>
          <rPr>
            <sz val="9"/>
            <rFont val="宋体"/>
            <charset val="134"/>
          </rPr>
          <t>144吨</t>
        </r>
      </text>
    </comment>
    <comment ref="U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V11" authorId="0">
      <text>
        <r>
          <rPr>
            <b/>
            <sz val="9"/>
            <rFont val="宋体"/>
            <charset val="134"/>
          </rPr>
          <t>3月6日4665484</t>
        </r>
        <r>
          <rPr>
            <sz val="9"/>
            <rFont val="宋体"/>
            <charset val="134"/>
          </rPr>
          <t xml:space="preserve">
3月5日70万</t>
        </r>
      </text>
    </comment>
    <comment ref="W1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X11" authorId="0">
      <text>
        <r>
          <rPr>
            <sz val="9"/>
            <rFont val="宋体"/>
            <charset val="134"/>
          </rPr>
          <t xml:space="preserve">运费1127万
</t>
        </r>
      </text>
    </comment>
    <comment ref="Z11" authorId="0">
      <text>
        <r>
          <rPr>
            <sz val="9"/>
            <rFont val="宋体"/>
            <charset val="134"/>
          </rPr>
          <t>海关税：29558776
海关税：21772501
免税小费：1000万</t>
        </r>
      </text>
    </comment>
    <comment ref="AD11" authorId="0">
      <text>
        <r>
          <rPr>
            <b/>
            <sz val="9"/>
            <rFont val="宋体"/>
            <charset val="134"/>
          </rPr>
          <t>3-13付EDAN清关费用
1180000+262729+500万</t>
        </r>
        <r>
          <rPr>
            <sz val="9"/>
            <rFont val="宋体"/>
            <charset val="134"/>
          </rPr>
          <t xml:space="preserve">
</t>
        </r>
      </text>
    </comment>
    <comment ref="Q13" authorId="0">
      <text>
        <r>
          <rPr>
            <sz val="9"/>
            <rFont val="宋体"/>
            <charset val="134"/>
          </rPr>
          <t xml:space="preserve">3月11日付2个货柜
MSMU9007511
MSMU9008082
港杂费3422389
</t>
        </r>
      </text>
    </comment>
    <comment ref="R13" authorId="0">
      <text/>
    </comment>
    <comment ref="S13" authorId="0">
      <text>
        <r>
          <rPr>
            <sz val="9"/>
            <rFont val="宋体"/>
            <charset val="134"/>
          </rPr>
          <t>在查一下，看看有没有从复</t>
        </r>
      </text>
    </comment>
    <comment ref="V13" authorId="0">
      <text>
        <r>
          <rPr>
            <sz val="9"/>
            <rFont val="宋体"/>
            <charset val="134"/>
          </rPr>
          <t>3月12日堆场服务费
4469958</t>
        </r>
      </text>
    </comment>
    <comment ref="X13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Z13" authorId="0">
      <text>
        <r>
          <rPr>
            <sz val="9"/>
            <rFont val="宋体"/>
            <charset val="134"/>
          </rPr>
          <t>海关税12841
     12813
     23796492
 免税1000万</t>
        </r>
      </text>
    </comment>
    <comment ref="AD13" authorId="0">
      <text>
        <r>
          <rPr>
            <sz val="9"/>
            <rFont val="宋体"/>
            <charset val="134"/>
          </rPr>
          <t>4月8日698万</t>
        </r>
      </text>
    </comment>
    <comment ref="X14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M15" authorId="0">
      <text>
        <r>
          <rPr>
            <sz val="9"/>
            <rFont val="宋体"/>
            <charset val="134"/>
          </rPr>
          <t>3-12付MEDUR9140225
5个货柜检验局费
180000</t>
        </r>
      </text>
    </comment>
    <comment ref="P15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</t>
        </r>
      </text>
    </comment>
    <comment ref="Q15" authorId="0">
      <text>
        <r>
          <rPr>
            <sz val="9"/>
            <rFont val="宋体"/>
            <charset val="134"/>
          </rPr>
          <t xml:space="preserve">3月11日付5个货柜港杂费7188272
</t>
        </r>
      </text>
    </comment>
    <comment ref="U15" authorId="0">
      <text>
        <r>
          <rPr>
            <sz val="9"/>
            <rFont val="宋体"/>
            <charset val="134"/>
          </rPr>
          <t xml:space="preserve">
</t>
        </r>
      </text>
    </comment>
    <comment ref="V15" authorId="0">
      <text>
        <r>
          <rPr>
            <b/>
            <sz val="9"/>
            <rFont val="宋体"/>
            <charset val="134"/>
          </rPr>
          <t>3-17付提单5个柜堆场费12547087</t>
        </r>
        <r>
          <rPr>
            <sz val="9"/>
            <rFont val="宋体"/>
            <charset val="134"/>
          </rPr>
          <t xml:space="preserve">
</t>
        </r>
      </text>
    </comment>
    <comment ref="X15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Z15" authorId="0">
      <text>
        <r>
          <rPr>
            <sz val="9"/>
            <rFont val="宋体"/>
            <charset val="134"/>
          </rPr>
          <t>海关税104394597
      12813
      12880
免税 2000万</t>
        </r>
      </text>
    </comment>
    <comment ref="AD15" authorId="0">
      <text>
        <r>
          <rPr>
            <sz val="9"/>
            <rFont val="宋体"/>
            <charset val="134"/>
          </rPr>
          <t>4月8日付5个货柜清关费垫付费用16723204</t>
        </r>
      </text>
    </comment>
    <comment ref="AE15" authorId="0">
      <text>
        <r>
          <rPr>
            <sz val="9"/>
            <rFont val="宋体"/>
            <charset val="134"/>
          </rPr>
          <t>26年3月22日此集装箱运到三矿</t>
        </r>
      </text>
    </comment>
    <comment ref="Q16" authorId="0">
      <text>
        <r>
          <rPr>
            <sz val="9"/>
            <rFont val="宋体"/>
            <charset val="134"/>
          </rPr>
          <t xml:space="preserve">付5个货柜港杂费7188272
</t>
        </r>
      </text>
    </comment>
    <comment ref="U16" authorId="0">
      <text>
        <r>
          <rPr>
            <sz val="9"/>
            <rFont val="宋体"/>
            <charset val="134"/>
          </rPr>
          <t xml:space="preserve">
</t>
        </r>
      </text>
    </comment>
    <comment ref="V16" authorId="0">
      <text>
        <r>
          <rPr>
            <b/>
            <sz val="9"/>
            <rFont val="宋体"/>
            <charset val="134"/>
          </rPr>
          <t>3-17付提单5个柜堆场费12547087</t>
        </r>
        <r>
          <rPr>
            <sz val="9"/>
            <rFont val="宋体"/>
            <charset val="134"/>
          </rPr>
          <t xml:space="preserve">
</t>
        </r>
      </text>
    </comment>
    <comment ref="X16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Q17" authorId="0">
      <text>
        <r>
          <rPr>
            <sz val="9"/>
            <rFont val="宋体"/>
            <charset val="134"/>
          </rPr>
          <t xml:space="preserve">付5个货柜港杂费7188272
</t>
        </r>
      </text>
    </comment>
    <comment ref="U17" authorId="0">
      <text>
        <r>
          <rPr>
            <sz val="9"/>
            <rFont val="宋体"/>
            <charset val="134"/>
          </rPr>
          <t xml:space="preserve">
</t>
        </r>
      </text>
    </comment>
    <comment ref="V17" authorId="0">
      <text>
        <r>
          <rPr>
            <b/>
            <sz val="9"/>
            <rFont val="宋体"/>
            <charset val="134"/>
          </rPr>
          <t>3-17付提单5个柜堆场费12547087</t>
        </r>
        <r>
          <rPr>
            <sz val="9"/>
            <rFont val="宋体"/>
            <charset val="134"/>
          </rPr>
          <t xml:space="preserve">
</t>
        </r>
      </text>
    </comment>
    <comment ref="X17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Q18" authorId="0">
      <text>
        <r>
          <rPr>
            <sz val="9"/>
            <rFont val="宋体"/>
            <charset val="134"/>
          </rPr>
          <t xml:space="preserve">付5个货柜港杂费7188272
</t>
        </r>
      </text>
    </comment>
    <comment ref="U18" authorId="0">
      <text>
        <r>
          <rPr>
            <sz val="9"/>
            <rFont val="宋体"/>
            <charset val="134"/>
          </rPr>
          <t xml:space="preserve">
</t>
        </r>
      </text>
    </comment>
    <comment ref="V18" authorId="0">
      <text>
        <r>
          <rPr>
            <b/>
            <sz val="9"/>
            <rFont val="宋体"/>
            <charset val="134"/>
          </rPr>
          <t>3-17付提单5个柜堆场费12547087</t>
        </r>
        <r>
          <rPr>
            <sz val="9"/>
            <rFont val="宋体"/>
            <charset val="134"/>
          </rPr>
          <t xml:space="preserve">
</t>
        </r>
      </text>
    </comment>
    <comment ref="X18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Q19" authorId="0">
      <text>
        <r>
          <rPr>
            <sz val="9"/>
            <rFont val="宋体"/>
            <charset val="134"/>
          </rPr>
          <t xml:space="preserve">付5个货柜港杂费7188272
</t>
        </r>
      </text>
    </comment>
    <comment ref="U19" authorId="0">
      <text>
        <r>
          <rPr>
            <sz val="9"/>
            <rFont val="宋体"/>
            <charset val="134"/>
          </rPr>
          <t xml:space="preserve">
</t>
        </r>
      </text>
    </comment>
    <comment ref="V19" authorId="0">
      <text>
        <r>
          <rPr>
            <b/>
            <sz val="9"/>
            <rFont val="宋体"/>
            <charset val="134"/>
          </rPr>
          <t>3-17付提单5个柜堆场费12547087</t>
        </r>
        <r>
          <rPr>
            <sz val="9"/>
            <rFont val="宋体"/>
            <charset val="134"/>
          </rPr>
          <t xml:space="preserve">
</t>
        </r>
      </text>
    </comment>
    <comment ref="X19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M20" authorId="0">
      <text>
        <r>
          <rPr>
            <sz val="9"/>
            <rFont val="宋体"/>
            <charset val="134"/>
          </rPr>
          <t>3-11付MEDUR9399664TBS费用
189000</t>
        </r>
      </text>
    </comment>
    <comment ref="O20" authorId="0">
      <text>
        <r>
          <rPr>
            <sz val="9"/>
            <rFont val="宋体"/>
            <charset val="134"/>
          </rPr>
          <t>266</t>
        </r>
      </text>
    </comment>
    <comment ref="Q20" authorId="0">
      <text>
        <r>
          <rPr>
            <sz val="9"/>
            <rFont val="宋体"/>
            <charset val="134"/>
          </rPr>
          <t>3月20日付港杂费2878014</t>
        </r>
      </text>
    </comment>
    <comment ref="X20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Z20" authorId="0">
      <text>
        <r>
          <rPr>
            <sz val="9"/>
            <rFont val="宋体"/>
            <charset val="134"/>
          </rPr>
          <t>2月3日付税款27103703
2月3日付税款9865007
2月3日付免税900万</t>
        </r>
      </text>
    </comment>
    <comment ref="AB20" authorId="0">
      <text>
        <r>
          <rPr>
            <sz val="9"/>
            <rFont val="宋体"/>
            <charset val="134"/>
          </rPr>
          <t>补税6096117</t>
        </r>
      </text>
    </comment>
    <comment ref="AD20" authorId="0">
      <text>
        <r>
          <rPr>
            <sz val="9"/>
            <rFont val="宋体"/>
            <charset val="134"/>
          </rPr>
          <t>4月8日688万</t>
        </r>
      </text>
    </comment>
    <comment ref="X21" authorId="0">
      <text>
        <r>
          <rPr>
            <b/>
            <sz val="9"/>
            <rFont val="宋体"/>
            <charset val="134"/>
          </rPr>
          <t xml:space="preserve">9车运输
</t>
        </r>
        <r>
          <rPr>
            <sz val="9"/>
            <rFont val="宋体"/>
            <charset val="134"/>
          </rPr>
          <t>3月19日1000万
3月23日1000万
3月24日1000万
3月28日1000万
4月3日950万</t>
        </r>
      </text>
    </comment>
    <comment ref="AD21" authorId="0">
      <text>
        <r>
          <rPr>
            <sz val="9"/>
            <rFont val="宋体"/>
            <charset val="134"/>
          </rPr>
          <t>4月8日688万</t>
        </r>
      </text>
    </comment>
    <comment ref="O22" authorId="0">
      <text>
        <r>
          <rPr>
            <sz val="9"/>
            <rFont val="宋体"/>
            <charset val="134"/>
          </rPr>
          <t xml:space="preserve">多付18美金
</t>
        </r>
      </text>
    </comment>
    <comment ref="T24" authorId="0">
      <text>
        <r>
          <rPr>
            <sz val="9"/>
            <rFont val="宋体"/>
            <charset val="134"/>
          </rPr>
          <t>4月1日890美金 4月2日895000先令 4月1日延误费2834.36*2650=7511054</t>
        </r>
      </text>
    </comment>
    <comment ref="V24" authorId="0">
      <text>
        <r>
          <rPr>
            <sz val="9"/>
            <rFont val="宋体"/>
            <charset val="134"/>
          </rPr>
          <t>4月15日堆场费1000640</t>
        </r>
      </text>
    </comment>
    <comment ref="Z25" authorId="0">
      <text>
        <r>
          <rPr>
            <sz val="9"/>
            <rFont val="宋体"/>
            <charset val="134"/>
          </rPr>
          <t>3月9日1海关税12764277
TBS+海关减税500万</t>
        </r>
      </text>
    </comment>
    <comment ref="Z26" authorId="0">
      <text>
        <r>
          <rPr>
            <sz val="9"/>
            <rFont val="宋体"/>
            <charset val="134"/>
          </rPr>
          <t>1海关税6298687
TBS+海关减税500万</t>
        </r>
      </text>
    </comment>
    <comment ref="T28" authorId="0">
      <text>
        <r>
          <rPr>
            <sz val="9"/>
            <rFont val="宋体"/>
            <charset val="134"/>
          </rPr>
          <t>6月1日</t>
        </r>
      </text>
    </comment>
    <comment ref="AB28" authorId="0">
      <text>
        <r>
          <rPr>
            <b/>
            <sz val="9"/>
            <rFont val="宋体"/>
            <charset val="134"/>
          </rPr>
          <t>4.23 免检小费2500万</t>
        </r>
      </text>
    </comment>
    <comment ref="N29" authorId="0">
      <text>
        <r>
          <rPr>
            <sz val="9"/>
            <rFont val="宋体"/>
            <charset val="134"/>
          </rPr>
          <t>武全满付款</t>
        </r>
      </text>
    </comment>
    <comment ref="T29" authorId="0">
      <text>
        <r>
          <rPr>
            <b/>
            <sz val="9"/>
            <rFont val="宋体"/>
            <charset val="134"/>
          </rPr>
          <t>6月1日</t>
        </r>
      </text>
    </comment>
    <comment ref="AB29" authorId="0">
      <text>
        <r>
          <rPr>
            <b/>
            <sz val="9"/>
            <rFont val="宋体"/>
            <charset val="134"/>
          </rPr>
          <t>4.23 免检小费2500万</t>
        </r>
      </text>
    </comment>
    <comment ref="Z30" authorId="0">
      <text>
        <r>
          <rPr>
            <b/>
            <sz val="9"/>
            <rFont val="宋体"/>
            <charset val="134"/>
          </rPr>
          <t xml:space="preserve">3月19日免税减税费用500万
</t>
        </r>
        <r>
          <rPr>
            <sz val="9"/>
            <rFont val="宋体"/>
            <charset val="134"/>
          </rPr>
          <t>海关税15046367</t>
        </r>
      </text>
    </comment>
    <comment ref="Y31" authorId="0">
      <text>
        <r>
          <rPr>
            <sz val="9"/>
            <rFont val="宋体"/>
            <charset val="134"/>
          </rPr>
          <t>武全满付款</t>
        </r>
      </text>
    </comment>
    <comment ref="AB31" authorId="0">
      <text>
        <r>
          <rPr>
            <b/>
            <sz val="9"/>
            <rFont val="宋体"/>
            <charset val="134"/>
          </rPr>
          <t>4.23 免检小费2500万</t>
        </r>
      </text>
    </comment>
    <comment ref="L32" authorId="0">
      <text>
        <r>
          <rPr>
            <sz val="9"/>
            <rFont val="宋体"/>
            <charset val="134"/>
          </rPr>
          <t>武全满付款</t>
        </r>
      </text>
    </comment>
    <comment ref="Y32" authorId="0">
      <text>
        <r>
          <rPr>
            <sz val="9"/>
            <rFont val="宋体"/>
            <charset val="134"/>
          </rPr>
          <t>武全满付款</t>
        </r>
      </text>
    </comment>
    <comment ref="AB32" authorId="0">
      <text>
        <r>
          <rPr>
            <b/>
            <sz val="9"/>
            <rFont val="宋体"/>
            <charset val="134"/>
          </rPr>
          <t>4.23 免检小费2500万</t>
        </r>
      </text>
    </comment>
    <comment ref="S33" authorId="0">
      <text>
        <r>
          <rPr>
            <sz val="9"/>
            <rFont val="宋体"/>
            <charset val="134"/>
          </rPr>
          <t>押金</t>
        </r>
      </text>
    </comment>
    <comment ref="AB39" authorId="0">
      <text>
        <r>
          <rPr>
            <b/>
            <sz val="9"/>
            <rFont val="宋体"/>
            <charset val="134"/>
          </rPr>
          <t>4.23 免检小费2500万</t>
        </r>
      </text>
    </comment>
    <comment ref="F43" authorId="0">
      <text>
        <r>
          <rPr>
            <sz val="9"/>
            <rFont val="宋体"/>
            <charset val="134"/>
          </rPr>
          <t>9月9日收到文件</t>
        </r>
      </text>
    </comment>
    <comment ref="F45" authorId="0">
      <text>
        <r>
          <rPr>
            <sz val="9"/>
            <rFont val="宋体"/>
            <charset val="134"/>
          </rPr>
          <t>9月9日收到文件</t>
        </r>
      </text>
    </comment>
    <comment ref="F46" authorId="0">
      <text>
        <r>
          <rPr>
            <sz val="9"/>
            <rFont val="宋体"/>
            <charset val="134"/>
          </rPr>
          <t>9月9日收到文件</t>
        </r>
      </text>
    </comment>
    <comment ref="P46" authorId="0">
      <text>
        <r>
          <rPr>
            <sz val="9"/>
            <rFont val="宋体"/>
            <charset val="134"/>
          </rPr>
          <t>6-30
7-6</t>
        </r>
      </text>
    </comment>
    <comment ref="S46" authorId="0">
      <text>
        <r>
          <rPr>
            <sz val="9"/>
            <rFont val="宋体"/>
            <charset val="134"/>
          </rPr>
          <t>化学部运输费小费</t>
        </r>
      </text>
    </comment>
    <comment ref="T46" authorId="0">
      <text>
        <r>
          <rPr>
            <sz val="9"/>
            <rFont val="宋体"/>
            <charset val="134"/>
          </rPr>
          <t>6月30日，检测费</t>
        </r>
      </text>
    </comment>
    <comment ref="S47" authorId="0">
      <text>
        <r>
          <rPr>
            <sz val="9"/>
            <rFont val="宋体"/>
            <charset val="134"/>
          </rPr>
          <t>码头人工劳务费</t>
        </r>
      </text>
    </comment>
    <comment ref="F48" authorId="0">
      <text>
        <r>
          <rPr>
            <sz val="9"/>
            <rFont val="宋体"/>
            <charset val="134"/>
          </rPr>
          <t>9月9日收到文件</t>
        </r>
      </text>
    </comment>
    <comment ref="F50" authorId="0">
      <text>
        <r>
          <rPr>
            <sz val="9"/>
            <rFont val="宋体"/>
            <charset val="134"/>
          </rPr>
          <t>9月9日收到文件</t>
        </r>
      </text>
    </comment>
    <comment ref="F51" authorId="0">
      <text>
        <r>
          <rPr>
            <sz val="9"/>
            <rFont val="宋体"/>
            <charset val="134"/>
          </rPr>
          <t>9月9日收到文件</t>
        </r>
      </text>
    </comment>
    <comment ref="F52" authorId="0">
      <text>
        <r>
          <rPr>
            <sz val="9"/>
            <rFont val="宋体"/>
            <charset val="134"/>
          </rPr>
          <t>9月9日收到文件</t>
        </r>
      </text>
    </comment>
    <comment ref="F53" authorId="0">
      <text>
        <r>
          <rPr>
            <sz val="9"/>
            <rFont val="宋体"/>
            <charset val="134"/>
          </rPr>
          <t>9月9日收到文件</t>
        </r>
      </text>
    </comment>
    <comment ref="F54" authorId="0">
      <text>
        <r>
          <rPr>
            <sz val="9"/>
            <rFont val="宋体"/>
            <charset val="134"/>
          </rPr>
          <t>9月9日收到文件</t>
        </r>
      </text>
    </comment>
    <comment ref="F55" authorId="0">
      <text>
        <r>
          <rPr>
            <sz val="9"/>
            <rFont val="宋体"/>
            <charset val="134"/>
          </rPr>
          <t>9月9日收到文件</t>
        </r>
      </text>
    </comment>
    <comment ref="F56" authorId="0">
      <text>
        <r>
          <rPr>
            <sz val="9"/>
            <rFont val="宋体"/>
            <charset val="134"/>
          </rPr>
          <t>9月9日收到文件</t>
        </r>
      </text>
    </comment>
    <comment ref="AB71" authorId="0">
      <text>
        <r>
          <rPr>
            <sz val="9"/>
            <rFont val="宋体"/>
            <charset val="134"/>
          </rPr>
          <t>化学品证</t>
        </r>
      </text>
    </comment>
    <comment ref="AB72" authorId="0">
      <text>
        <r>
          <rPr>
            <sz val="9"/>
            <rFont val="宋体"/>
            <charset val="134"/>
          </rPr>
          <t>化学品证</t>
        </r>
      </text>
    </comment>
    <comment ref="AB73" authorId="0">
      <text>
        <r>
          <rPr>
            <sz val="9"/>
            <rFont val="宋体"/>
            <charset val="134"/>
          </rPr>
          <t>化学品证</t>
        </r>
      </text>
    </comment>
    <comment ref="AB74" authorId="0">
      <text>
        <r>
          <rPr>
            <sz val="9"/>
            <rFont val="宋体"/>
            <charset val="134"/>
          </rPr>
          <t>化学品证</t>
        </r>
      </text>
    </comment>
    <comment ref="AB75" authorId="0">
      <text>
        <r>
          <rPr>
            <sz val="9"/>
            <rFont val="宋体"/>
            <charset val="134"/>
          </rPr>
          <t>化学品证</t>
        </r>
      </text>
    </comment>
    <comment ref="AB76" authorId="0">
      <text>
        <r>
          <rPr>
            <sz val="9"/>
            <rFont val="宋体"/>
            <charset val="134"/>
          </rPr>
          <t>化学品证</t>
        </r>
      </text>
    </comment>
    <comment ref="AB77" authorId="0">
      <text>
        <r>
          <rPr>
            <sz val="9"/>
            <rFont val="宋体"/>
            <charset val="134"/>
          </rPr>
          <t>化学品证</t>
        </r>
      </text>
    </comment>
    <comment ref="AB78" authorId="0">
      <text>
        <r>
          <rPr>
            <sz val="9"/>
            <rFont val="宋体"/>
            <charset val="134"/>
          </rPr>
          <t>小费</t>
        </r>
      </text>
    </comment>
    <comment ref="AB83" authorId="0">
      <text>
        <r>
          <rPr>
            <sz val="9"/>
            <rFont val="宋体"/>
            <charset val="134"/>
          </rPr>
          <t>化学品证</t>
        </r>
      </text>
    </comment>
  </commentList>
</comments>
</file>

<file path=xl/sharedStrings.xml><?xml version="1.0" encoding="utf-8"?>
<sst xmlns="http://schemas.openxmlformats.org/spreadsheetml/2006/main" count="895" uniqueCount="364">
  <si>
    <t>海运供应商货柜到货情况统计表</t>
  </si>
  <si>
    <t>序号</t>
  </si>
  <si>
    <t>收货日期</t>
  </si>
  <si>
    <t>合同号</t>
  </si>
  <si>
    <t>重量</t>
  </si>
  <si>
    <t>体积</t>
  </si>
  <si>
    <t>提单号</t>
  </si>
  <si>
    <t>集装箱单号</t>
  </si>
  <si>
    <t>车号</t>
  </si>
  <si>
    <t>供应商</t>
  </si>
  <si>
    <t>托运商品名称</t>
  </si>
  <si>
    <t>TBS日期</t>
  </si>
  <si>
    <t>TBS费用</t>
  </si>
  <si>
    <t>船公司
日期</t>
  </si>
  <si>
    <t>船公司费用
EDAN</t>
  </si>
  <si>
    <t>港口日期</t>
  </si>
  <si>
    <t>港口费</t>
  </si>
  <si>
    <t>GALCO日期</t>
  </si>
  <si>
    <t>GALCO
海关操作费</t>
  </si>
  <si>
    <t>滞日期</t>
  </si>
  <si>
    <t>滞箱费
延误费</t>
  </si>
  <si>
    <t>堆场日期</t>
  </si>
  <si>
    <t>堆场费</t>
  </si>
  <si>
    <t>集装箱
运费日期</t>
  </si>
  <si>
    <t>集装箱运费</t>
  </si>
  <si>
    <t>交税日期</t>
  </si>
  <si>
    <t>海关税</t>
  </si>
  <si>
    <t>小费日期</t>
  </si>
  <si>
    <t>补税小费</t>
  </si>
  <si>
    <t>放行日期</t>
  </si>
  <si>
    <t>放行费及代理费
EDAN清关公司</t>
  </si>
  <si>
    <t>集装箱是否自己购买</t>
  </si>
  <si>
    <t>总运费</t>
  </si>
  <si>
    <t>折合
人民币</t>
  </si>
  <si>
    <t>汇率</t>
  </si>
  <si>
    <t>公司</t>
  </si>
  <si>
    <t>MAEU4138660</t>
  </si>
  <si>
    <t>烟台市金豪矿山机械有限公司</t>
  </si>
  <si>
    <t>金矿设备</t>
  </si>
  <si>
    <t>否</t>
  </si>
  <si>
    <t>嘉禾</t>
  </si>
  <si>
    <t>MAEU4036837</t>
  </si>
  <si>
    <t>ASLU7057651</t>
  </si>
  <si>
    <t>T300CSR</t>
  </si>
  <si>
    <t>土工膜</t>
  </si>
  <si>
    <t>SELU4288257</t>
  </si>
  <si>
    <t>T324CBU</t>
  </si>
  <si>
    <t>ASLU7068595</t>
  </si>
  <si>
    <t>T852CSN</t>
  </si>
  <si>
    <t>MEDUYQ615211</t>
  </si>
  <si>
    <t>MEDU7050813</t>
  </si>
  <si>
    <t>T336CSR</t>
  </si>
  <si>
    <t>福建全力供应链管理有限公司</t>
  </si>
  <si>
    <t>风机等</t>
  </si>
  <si>
    <t>LCZU6663979</t>
  </si>
  <si>
    <t>T825CSN</t>
  </si>
  <si>
    <t>发电机</t>
  </si>
  <si>
    <t>AXIU1629864</t>
  </si>
  <si>
    <t>T438EMF-T455EMF</t>
  </si>
  <si>
    <t>金矿设备配件</t>
  </si>
  <si>
    <t>是</t>
  </si>
  <si>
    <t>FCIU8857920</t>
  </si>
  <si>
    <t>T436EMF-T454EMF</t>
  </si>
  <si>
    <t>MEDUR9399672</t>
  </si>
  <si>
    <t>MSMU9007511</t>
  </si>
  <si>
    <t>T437EMF-T456EMF</t>
  </si>
  <si>
    <t>车坏路上了</t>
  </si>
  <si>
    <t>MSMU9008082</t>
  </si>
  <si>
    <t>T439EMF-T453EMF</t>
  </si>
  <si>
    <t>MEDUR9140225</t>
  </si>
  <si>
    <t>CBHU9041804</t>
  </si>
  <si>
    <t>GATU8693770</t>
  </si>
  <si>
    <t>T288EQC-T176DGE</t>
  </si>
  <si>
    <t>GATU8663903</t>
  </si>
  <si>
    <t>T911EPK-T705EPK</t>
  </si>
  <si>
    <t>CBHU8968633</t>
  </si>
  <si>
    <t>T579EKP-T965EEA</t>
  </si>
  <si>
    <t>CBHU8932081</t>
  </si>
  <si>
    <t>T456EPS-T929EFU</t>
  </si>
  <si>
    <t>MEDUR9399664</t>
  </si>
  <si>
    <t>FCIU8630602</t>
  </si>
  <si>
    <t>FCIU8393711</t>
  </si>
  <si>
    <t>合计：</t>
  </si>
  <si>
    <t>CSX26TAODAR001293</t>
  </si>
  <si>
    <t>BEAU6456280</t>
  </si>
  <si>
    <t>177dhjhadg006SC</t>
  </si>
  <si>
    <t>MEDUWA301300</t>
  </si>
  <si>
    <t>EMCU1461128</t>
  </si>
  <si>
    <t>药剂</t>
  </si>
  <si>
    <t>乙硫氨脂</t>
  </si>
  <si>
    <t>177dhyhya14273SC</t>
  </si>
  <si>
    <t>MEDUWA254590</t>
  </si>
  <si>
    <t>XYJU2031238</t>
  </si>
  <si>
    <t>MEDUWA416769</t>
  </si>
  <si>
    <t>FFAU7431738</t>
  </si>
  <si>
    <t>MSKU7783686</t>
  </si>
  <si>
    <t>HASU4765489</t>
  </si>
  <si>
    <t>TRHU7952141</t>
  </si>
  <si>
    <t>MRSU4248331</t>
  </si>
  <si>
    <t>177DHJHJADG007SC</t>
  </si>
  <si>
    <t>TEMU2732393</t>
  </si>
  <si>
    <t>177DHJHJADG010SC</t>
  </si>
  <si>
    <t>WSKU6723980</t>
  </si>
  <si>
    <t>WSKU6981795</t>
  </si>
  <si>
    <t>1811X026PE00732H1</t>
  </si>
  <si>
    <t>MEDUKG462105</t>
  </si>
  <si>
    <t>DRYU9381826</t>
  </si>
  <si>
    <t>1811X026PE00642H1</t>
  </si>
  <si>
    <t>MEDUKG426324</t>
  </si>
  <si>
    <t>TIIU4204331</t>
  </si>
  <si>
    <t>994380635496</t>
  </si>
  <si>
    <t>山东亿泰金淘进出口有限公司</t>
  </si>
  <si>
    <t>994380635650</t>
  </si>
  <si>
    <t>994380635654</t>
  </si>
  <si>
    <t>994380636924</t>
  </si>
  <si>
    <t>994380636977</t>
  </si>
  <si>
    <t>994380637103</t>
  </si>
  <si>
    <t>994380637807</t>
  </si>
  <si>
    <t>994380637798</t>
  </si>
  <si>
    <t>994380637808</t>
  </si>
  <si>
    <t>994380638122</t>
  </si>
  <si>
    <t>994380639628</t>
  </si>
  <si>
    <t>994380640880</t>
  </si>
  <si>
    <t>跑腿费</t>
  </si>
  <si>
    <t>994380646887</t>
  </si>
  <si>
    <t>994380646979</t>
  </si>
  <si>
    <t>994380647163</t>
  </si>
  <si>
    <t>化学品小费</t>
  </si>
  <si>
    <t>994380655485</t>
  </si>
  <si>
    <t>化学品证</t>
  </si>
  <si>
    <t>采购人</t>
  </si>
  <si>
    <t>文件
是否
收回</t>
  </si>
  <si>
    <t>免税税费</t>
  </si>
  <si>
    <t>折合
美金</t>
  </si>
  <si>
    <t>电线电缆</t>
  </si>
  <si>
    <t>福建马扎罗贸易有限公司</t>
  </si>
  <si>
    <t>BEAU645628045G1</t>
  </si>
  <si>
    <t>T234BMR-T795CCJ</t>
  </si>
  <si>
    <t>吨包袋叶轮等</t>
  </si>
  <si>
    <t>T234  -T795CCJ</t>
  </si>
  <si>
    <t>烟台亿泰化工有限公司（药剂）</t>
  </si>
  <si>
    <t>T822ELK-T112EMK</t>
  </si>
  <si>
    <t>T614BTK-T707DMU</t>
  </si>
  <si>
    <t>一二矿物资</t>
  </si>
  <si>
    <t>T332CTC-T875DFS</t>
  </si>
  <si>
    <t>1811X026PE00913H1</t>
  </si>
  <si>
    <t>MEDUKG529630</t>
  </si>
  <si>
    <t>LHXU9257091</t>
  </si>
  <si>
    <t>钢轨热轧板空压机储气罐坑道服</t>
  </si>
  <si>
    <t>三矿物资</t>
  </si>
  <si>
    <t>三矿</t>
  </si>
  <si>
    <t>1811X026PE00860H1</t>
  </si>
  <si>
    <t>MEDUKG510218</t>
  </si>
  <si>
    <t>LHXU9255993</t>
  </si>
  <si>
    <t>康明斯发电机组300KW 配件</t>
  </si>
  <si>
    <t>自己拉三矿</t>
  </si>
  <si>
    <t>KMTCTAO8385385</t>
  </si>
  <si>
    <t>TXGU6063513</t>
  </si>
  <si>
    <t>薛大哥</t>
  </si>
  <si>
    <t>沙金设备</t>
  </si>
  <si>
    <t>薛大哥沙金</t>
  </si>
  <si>
    <t>KMTU9303006</t>
  </si>
  <si>
    <t>海关日期</t>
  </si>
  <si>
    <t>货物归属</t>
  </si>
  <si>
    <t>货卸</t>
  </si>
  <si>
    <t>T283ENF-T896AFE</t>
  </si>
  <si>
    <t>MEDUWX541891</t>
  </si>
  <si>
    <t>1811X026PE01009H1</t>
  </si>
  <si>
    <t>MEDUKG564900</t>
  </si>
  <si>
    <t>LHXU9257511</t>
  </si>
  <si>
    <t>焊接钢管角钢镀锌管工字钢槽钢</t>
  </si>
  <si>
    <t>A91GX04102</t>
  </si>
  <si>
    <t>SUDU6562175</t>
  </si>
  <si>
    <t>矿车减速机电机制动器液压站等</t>
  </si>
  <si>
    <t>三矿 四矿</t>
  </si>
  <si>
    <t>SUDU6528761</t>
  </si>
  <si>
    <t>T419DNG-T466DUV</t>
  </si>
  <si>
    <t>ONEYXMNG45940400</t>
  </si>
  <si>
    <t xml:space="preserve">LHXU9260583 </t>
  </si>
  <si>
    <t>钢轨角钢工字钢铁簸箕镀锌铁丝</t>
  </si>
  <si>
    <t>四矿</t>
  </si>
  <si>
    <t>卸六矿区</t>
  </si>
  <si>
    <t>1811X026PE01163H1</t>
  </si>
  <si>
    <t>MEDUKG6433241</t>
  </si>
  <si>
    <t>LHXU9261569</t>
  </si>
  <si>
    <t>圆钢焊接钢管镀锌管装载机轮胎等</t>
  </si>
  <si>
    <t>A91GX04973</t>
  </si>
  <si>
    <t>MSKU8698486</t>
  </si>
  <si>
    <t>提升绞车轻轨道夹板</t>
  </si>
  <si>
    <t>1811X026PE01292H1</t>
  </si>
  <si>
    <t>MEDUKG7116421</t>
  </si>
  <si>
    <t>LHXU9260006</t>
  </si>
  <si>
    <t>T964EPA</t>
  </si>
  <si>
    <t>槽钢</t>
  </si>
  <si>
    <t>1811X026PE01727H1</t>
  </si>
  <si>
    <t>MEDUKG968242</t>
  </si>
  <si>
    <t>LHXU9262890</t>
  </si>
  <si>
    <t>污水泵和面机等离子切割机</t>
  </si>
  <si>
    <t>已到</t>
  </si>
  <si>
    <t>RMHCNYTG260405022</t>
  </si>
  <si>
    <t>装载机挖机4台设备</t>
  </si>
  <si>
    <t>RMHCNYTG260405011</t>
  </si>
  <si>
    <t>挖机</t>
  </si>
  <si>
    <t>KMTCTAO8509659</t>
  </si>
  <si>
    <t>TCNU7178900</t>
  </si>
  <si>
    <t>T519ELH</t>
  </si>
  <si>
    <t>洗砂设备整体框架</t>
  </si>
  <si>
    <t>TCLU5466005</t>
  </si>
  <si>
    <t>水泵电机球磨机</t>
  </si>
  <si>
    <t>TGHU7512325</t>
  </si>
  <si>
    <t>洗砂设备整体框架分水槽</t>
  </si>
  <si>
    <t>DFSU6693138</t>
  </si>
  <si>
    <t>T964EPA-T424ERC</t>
  </si>
  <si>
    <t>发电机组及配件</t>
  </si>
  <si>
    <t>799610342944</t>
  </si>
  <si>
    <t>TSH2910545</t>
  </si>
  <si>
    <t>TCNU8073689</t>
  </si>
  <si>
    <t>杨总沙金</t>
  </si>
  <si>
    <t>TSH2910546</t>
  </si>
  <si>
    <t>TCNU8703324</t>
  </si>
  <si>
    <t>黑龙江康明斯</t>
  </si>
  <si>
    <t>NGP3750725</t>
  </si>
  <si>
    <t>MSKV4646463</t>
  </si>
  <si>
    <t>一二矿</t>
  </si>
  <si>
    <t>选厂</t>
  </si>
  <si>
    <t>金金</t>
  </si>
  <si>
    <t>XMCX60772400</t>
  </si>
  <si>
    <t>MSKU9402161</t>
  </si>
  <si>
    <t>叉车铜铝鼻子电缆铲车配件</t>
  </si>
  <si>
    <t>799610484279</t>
  </si>
  <si>
    <t>TEMU7734470</t>
  </si>
  <si>
    <t>TSF0406010</t>
  </si>
  <si>
    <t>张恒采购</t>
  </si>
  <si>
    <t>BMOU6220030</t>
  </si>
  <si>
    <t>TEMU0442986</t>
  </si>
  <si>
    <t>994380664615</t>
  </si>
  <si>
    <t>994380670911</t>
  </si>
  <si>
    <t>运输许可证费用</t>
  </si>
  <si>
    <t>需要退款</t>
  </si>
  <si>
    <t>4月17日已经退款</t>
  </si>
  <si>
    <t>HASU4764549</t>
  </si>
  <si>
    <t>海运供应商货柜到情况统计表</t>
  </si>
  <si>
    <t>日期</t>
  </si>
  <si>
    <t>支付先令</t>
  </si>
  <si>
    <t>支付美金</t>
  </si>
  <si>
    <t>商品重量</t>
  </si>
  <si>
    <t>外观尺寸</t>
  </si>
  <si>
    <t>数量</t>
  </si>
  <si>
    <t>船名/航次</t>
  </si>
  <si>
    <t>预计开船日期</t>
  </si>
  <si>
    <t>预计到港日期</t>
  </si>
  <si>
    <t>发货地</t>
  </si>
  <si>
    <t>目的地</t>
  </si>
  <si>
    <t>每件运费</t>
  </si>
  <si>
    <t>客户联系电话</t>
  </si>
  <si>
    <t>交两个柜税</t>
  </si>
  <si>
    <t>税号998355228036</t>
  </si>
  <si>
    <t>支票转账付清关税</t>
  </si>
  <si>
    <t>税号9921130601</t>
  </si>
  <si>
    <t>集装箱税 TRA</t>
  </si>
  <si>
    <t>编号998355362755</t>
  </si>
  <si>
    <t>集装箱税</t>
  </si>
  <si>
    <t>编号998355368050</t>
  </si>
  <si>
    <t>集装箱减税小费</t>
  </si>
  <si>
    <t>集装箱交税</t>
  </si>
  <si>
    <t>3个货柜土工膜海关税</t>
  </si>
  <si>
    <t>编号998355421727</t>
  </si>
  <si>
    <t>编号998355448552</t>
  </si>
  <si>
    <t>土工膜清关给海关小费</t>
  </si>
  <si>
    <t>付土工膜有船公司费用和航线费693美金</t>
  </si>
  <si>
    <t>付货柜MEDU7050813海关税款</t>
  </si>
  <si>
    <t>付国内货柜MAEU40368372 MAEU4138660船公司费用</t>
  </si>
  <si>
    <t>柜号MAEU4036837T和MAEU4138660两个货柜减2500万税付3000美金小费</t>
  </si>
  <si>
    <t>柜号MAEU4036837T和MAEU4138660两个货柜税款2719万</t>
  </si>
  <si>
    <t>港口装卸费</t>
  </si>
  <si>
    <t>走廊费,ICD转运费.移箱费,TICTS码头操作费,单箱仓储费,运输费，验证费</t>
  </si>
  <si>
    <t>空压机堆场费，清关代理费，船公司的费用，放行费，包括免检小费税250万</t>
  </si>
  <si>
    <t>土工膜TBS费用 1货柜编号：MAEU4036837</t>
  </si>
  <si>
    <t>土工膜TBS费用 2货柜编号：MAEU4138660</t>
  </si>
  <si>
    <t>付国内货柜MAEU7050813船公司费用</t>
  </si>
  <si>
    <t>付MEDU7050813 港口税费</t>
  </si>
  <si>
    <t>付MEDU7050813 TBS税费用</t>
  </si>
  <si>
    <t>B/LNO:261427723 货柜MAEU4138660,MAEU4036837堆场费</t>
  </si>
  <si>
    <t>B/LNO:261427723 货柜MAEU4138660，MAEU4036837港口费</t>
  </si>
  <si>
    <t>货柜MEDUT0615211堆场费</t>
  </si>
  <si>
    <t>土工膜三个货柜港口费</t>
  </si>
  <si>
    <t>土工膜堆场费</t>
  </si>
  <si>
    <t>发电机货柜补税海关税</t>
  </si>
  <si>
    <t>发电机港口费</t>
  </si>
  <si>
    <t xml:space="preserve">发电机TBS费 </t>
  </si>
  <si>
    <t>运输6个集装箱预付运输费油费</t>
  </si>
  <si>
    <t>付发电机堆场税费</t>
  </si>
  <si>
    <t>付货柜，2个集装箱运输费（达市-姆潘达）</t>
  </si>
  <si>
    <t>付船公司费用1120</t>
  </si>
  <si>
    <t>付1月30日货柜超重小费（T439EAK和T840CSC)</t>
  </si>
  <si>
    <t>付1月28日5个货柜集装箱运输尾款</t>
  </si>
  <si>
    <t>付货柜FCIU8630602和FCIU8393711海关减税，免检费用</t>
  </si>
  <si>
    <t>付货柜FCIU8630602海关税</t>
  </si>
  <si>
    <t>付货柜FCIU8393711海关税</t>
  </si>
  <si>
    <t>付货柜MEDU7050813代理费59万和放行费200万</t>
  </si>
  <si>
    <t>付货柜LCZU6663979代理费59万场地费381751放行费220万</t>
  </si>
  <si>
    <t>付货柜MAEU4036837 MAEU4138660代理费118万ICD费361080，协调费400万</t>
  </si>
  <si>
    <t>付ASLU7068595,ASLU7057651,SELU4288257代理费177万ICD费361080，协调费400万</t>
  </si>
  <si>
    <t>付肯尼亚货柜滞纳金15000美金和453万先令（还差5557美金）</t>
  </si>
  <si>
    <t>化学品注册交税</t>
  </si>
  <si>
    <t>化学品证许可证号994380637807费用</t>
  </si>
  <si>
    <t>化学品证许可证号994380637798费用</t>
  </si>
  <si>
    <t>化学品证许可证号994380637808费用</t>
  </si>
  <si>
    <t>化学品证许可证号994380638122费用</t>
  </si>
  <si>
    <t>付2个货柜TBS检测费 柜号：MSMU9007511 MSMU9008082</t>
  </si>
  <si>
    <t>付2个货柜海关税 柜号：MSMU9007511 MSMU9008082</t>
  </si>
  <si>
    <t>付2个货柜免税减税费用，柜号：MSMU9007511 MSMU9008082</t>
  </si>
  <si>
    <t>付5个货柜海关税费用，
柜号：CBHU9041804 GATU8693770 GATU8663903 CBHU8968633 CBHU8932081</t>
  </si>
  <si>
    <t>付5个货柜免税减税费用，
柜号：CBHU9041804 GATU8693770 GATU8663903 CBHU8968633 CBHU8932081</t>
  </si>
  <si>
    <t>付2个货柜海关税，柜号：MSMU9007511 MSMU9008082</t>
  </si>
  <si>
    <t>化学品证许可证号994380639628费用</t>
  </si>
  <si>
    <t>化学品证许可证号994380640880费用</t>
  </si>
  <si>
    <t>化学品注册费</t>
  </si>
  <si>
    <t>付货柜AXIU1629864和FCIU8857920海关减税，免检费用</t>
  </si>
  <si>
    <t>付货柜AXIU1629864海关税</t>
  </si>
  <si>
    <t>付货柜FCIU8857920海关税</t>
  </si>
  <si>
    <t>付货柜AXIU1629864和FCIU885792 TBS费用</t>
  </si>
  <si>
    <t>付2个货柜TBS检测费 柜号：AXIU1629864 FCIU8857920</t>
  </si>
  <si>
    <t>付2个货柜堆场费 柜号：AXIU1629864 FCIU8857920</t>
  </si>
  <si>
    <t>付2个货柜堆场费用转运，仓储等服务 柜号：AXIU1629864 FCIU8857920</t>
  </si>
  <si>
    <t>化学品注册费994380646887</t>
  </si>
  <si>
    <t>（付货柜化学品提单号177dhjhadg006SC-乙硫氨脂/黄药） 海关税</t>
  </si>
  <si>
    <t>（付货柜化学品提单号177dhjhadg006SC-乙硫氨脂/黄药） TBS文件及海关减税</t>
  </si>
  <si>
    <t>（付货柜化学品提单号177dhyhya14273SC-碳酸钠）海关税</t>
  </si>
  <si>
    <t>（付货柜化学品提单号177dhyhya14273SC-碳酸钠）TBS文件及海关减税</t>
  </si>
  <si>
    <t>化学品证许可证号994380647163费用</t>
  </si>
  <si>
    <t>付货柜提单号MEDUR9140225 港口费</t>
  </si>
  <si>
    <t>付货柜集装箱2车运输费</t>
  </si>
  <si>
    <t>付货柜提单号MEDUR9399672 港口杂费</t>
  </si>
  <si>
    <t>付货柜提单号MEDUR9399664 TBS费用</t>
  </si>
  <si>
    <t>付8个货柜滞箱费1085美金</t>
  </si>
  <si>
    <t>付3个货柜船公司费用1322美金</t>
  </si>
  <si>
    <t>付货柜MSMU9007511 MSMU9008082堆场服务费</t>
  </si>
  <si>
    <t>付提单号MEDUR9140225 5个柜 CBHU9041804/GATU8693770/GATU8663903/CBHU8968633/CBHU8932081  TBS费</t>
  </si>
  <si>
    <t>付货柜AXIU1629864 FCIU8857920 EDAN港口堆场本地杂费</t>
  </si>
  <si>
    <t>付化学品注册小费</t>
  </si>
  <si>
    <t>提单号MEDUR9140225 5个货柜堆场费 柜号看备注</t>
  </si>
  <si>
    <t>付提单MEDUR9399664,货柜FCIU8630602,FCIU8393711：两个货柜补海关税</t>
  </si>
  <si>
    <t>预付5个货柜集装箱运输款 柜号看备注</t>
  </si>
  <si>
    <t>付药剂货柜提单MEDUWA416769 海关税和TBS及减税费用</t>
  </si>
  <si>
    <t>付药剂货柜提单MEDUWA416769 海关减税和TBS减税费用</t>
  </si>
  <si>
    <t>付提单MEDUR9399664,货柜FCIU8630602,FCIU8393711：两个货柜港杂费</t>
  </si>
  <si>
    <t>付货柜MSMU9007511补税</t>
  </si>
  <si>
    <t>付货柜BEAU6456280港口费</t>
  </si>
  <si>
    <t>货柜集装箱运输款</t>
  </si>
  <si>
    <t>付货柜BEAU6456280海关税</t>
  </si>
  <si>
    <t>付货柜集装箱BEAU6456280货柜滞期费890美金</t>
  </si>
  <si>
    <t>付货柜FCIU8630602和FCIU8393711堆场费</t>
  </si>
  <si>
    <t>付货柜BEAU6456280  TBS费用</t>
  </si>
  <si>
    <t>付货柜BEAU6456280  TASAC费用 船公司目的港本地费用</t>
  </si>
  <si>
    <t>化学品证许可证号994380655485费用</t>
  </si>
  <si>
    <t>付2个货柜滞箱费用 柜号：MSMU9007511 MSMU9008082</t>
  </si>
  <si>
    <t>付货柜CSX26TAODAR001293ICD 清关，堆存仓储费用</t>
  </si>
  <si>
    <t>付货柜CSX26TAODAR001293延误费</t>
  </si>
  <si>
    <t>付9个货柜尾款950万 9*550万-4000万预付款</t>
  </si>
  <si>
    <t>付货柜运输款一车</t>
  </si>
  <si>
    <t>付2个货柜MSMU9007511,MSMU9008082放行费清关货运代理费</t>
  </si>
  <si>
    <t>付2个货柜FCIU8630602,FCIU8393711放行费清关货运代理费</t>
  </si>
  <si>
    <t>付5个货柜放行费清关货运代理费单号看备注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</si>
</sst>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5" formatCode="&quot;￥&quot;#,##0;&quot;￥&quot;\-#,##0"/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\$#,##0;\-\$#,##0"/>
    <numFmt numFmtId="178" formatCode="\$#,##0.00;\-\$#,##0.00"/>
    <numFmt numFmtId="179" formatCode="0_);[Red]\(0\)"/>
    <numFmt numFmtId="180" formatCode="m&quot;月&quot;d&quot;日&quot;;@"/>
    <numFmt numFmtId="181" formatCode="#,##0_);[Red]\(#,##0\)"/>
    <numFmt numFmtId="182" formatCode="#,##0.00_);[Red]\(#,##0.00\)"/>
  </numFmts>
  <fonts count="30">
    <font>
      <sz val="11"/>
      <color theme="1"/>
      <name val="宋体"/>
      <charset val="134"/>
      <scheme val="minor"/>
    </font>
    <font>
      <b/>
      <sz val="20"/>
      <color theme="3" tint="-0.249977111117893"/>
      <name val="微软雅黑"/>
      <charset val="134"/>
    </font>
    <font>
      <sz val="14"/>
      <color theme="0"/>
      <name val="微软雅黑"/>
      <charset val="134"/>
    </font>
    <font>
      <sz val="11"/>
      <color theme="1" tint="0.149937437055574"/>
      <name val="微软雅黑"/>
      <charset val="134"/>
    </font>
    <font>
      <sz val="11"/>
      <name val="微软雅黑"/>
      <charset val="134"/>
    </font>
    <font>
      <sz val="9"/>
      <color theme="0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3" tint="0.7999206518753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C8E7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17" fillId="15" borderId="9" applyNumberFormat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19" fillId="1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92"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4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right" vertical="center"/>
    </xf>
    <xf numFmtId="177" fontId="1" fillId="2" borderId="0" xfId="0" applyNumberFormat="1" applyFont="1" applyFill="1" applyAlignment="1">
      <alignment horizontal="right" vertical="center"/>
    </xf>
    <xf numFmtId="44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44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right" vertical="center"/>
    </xf>
    <xf numFmtId="177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44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right" vertical="center"/>
    </xf>
    <xf numFmtId="178" fontId="3" fillId="0" borderId="1" xfId="0" applyNumberFormat="1" applyFont="1" applyFill="1" applyBorder="1" applyAlignment="1">
      <alignment horizontal="right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6" borderId="0" xfId="0" applyFill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5" fontId="0" fillId="0" borderId="0" xfId="0" applyNumberFormat="1" applyAlignment="1">
      <alignment horizontal="right" vertical="center"/>
    </xf>
    <xf numFmtId="5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0" fontId="1" fillId="2" borderId="0" xfId="0" applyFont="1" applyFill="1" applyAlignment="1">
      <alignment vertical="center"/>
    </xf>
    <xf numFmtId="177" fontId="1" fillId="2" borderId="0" xfId="0" applyNumberFormat="1" applyFont="1" applyFill="1" applyAlignment="1">
      <alignment vertical="center"/>
    </xf>
    <xf numFmtId="180" fontId="1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5" fontId="1" fillId="2" borderId="0" xfId="0" applyNumberFormat="1" applyFont="1" applyFill="1" applyAlignment="1">
      <alignment horizontal="right" vertical="center"/>
    </xf>
    <xf numFmtId="5" fontId="1" fillId="2" borderId="0" xfId="0" applyNumberFormat="1" applyFont="1" applyFill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center" vertical="center"/>
    </xf>
    <xf numFmtId="181" fontId="2" fillId="3" borderId="1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 wrapText="1"/>
    </xf>
    <xf numFmtId="182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 wrapText="1"/>
    </xf>
    <xf numFmtId="182" fontId="2" fillId="3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5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0" fontId="3" fillId="0" borderId="1" xfId="0" applyNumberFormat="1" applyFont="1" applyFill="1" applyBorder="1" applyAlignment="1">
      <alignment horizontal="center" vertical="center"/>
    </xf>
    <xf numFmtId="181" fontId="3" fillId="0" borderId="1" xfId="0" applyNumberFormat="1" applyFont="1" applyFill="1" applyBorder="1" applyAlignment="1">
      <alignment horizontal="center" vertical="center"/>
    </xf>
    <xf numFmtId="26" fontId="3" fillId="4" borderId="1" xfId="0" applyNumberFormat="1" applyFont="1" applyFill="1" applyBorder="1" applyAlignment="1">
      <alignment horizontal="center" vertical="center"/>
    </xf>
    <xf numFmtId="182" fontId="3" fillId="4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24" fontId="3" fillId="4" borderId="1" xfId="0" applyNumberFormat="1" applyFont="1" applyFill="1" applyBorder="1" applyAlignment="1">
      <alignment horizontal="center" vertical="center"/>
    </xf>
    <xf numFmtId="181" fontId="3" fillId="4" borderId="1" xfId="0" applyNumberFormat="1" applyFont="1" applyFill="1" applyBorder="1" applyAlignment="1">
      <alignment horizontal="center" vertical="center"/>
    </xf>
    <xf numFmtId="181" fontId="3" fillId="4" borderId="3" xfId="0" applyNumberFormat="1" applyFont="1" applyFill="1" applyBorder="1" applyAlignment="1">
      <alignment vertical="center"/>
    </xf>
    <xf numFmtId="14" fontId="3" fillId="0" borderId="3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5" fontId="3" fillId="0" borderId="1" xfId="0" applyNumberFormat="1" applyFont="1" applyFill="1" applyBorder="1" applyAlignment="1">
      <alignment horizontal="right" vertical="center"/>
    </xf>
    <xf numFmtId="5" fontId="3" fillId="0" borderId="1" xfId="0" applyNumberFormat="1" applyFont="1" applyFill="1" applyBorder="1" applyAlignment="1">
      <alignment horizontal="center" vertical="center"/>
    </xf>
    <xf numFmtId="3" fontId="0" fillId="0" borderId="0" xfId="0" applyNumberFormat="1" applyFill="1">
      <alignment vertical="center"/>
    </xf>
    <xf numFmtId="0" fontId="7" fillId="5" borderId="1" xfId="0" applyFont="1" applyFill="1" applyBorder="1" applyAlignment="1">
      <alignment horizontal="center" vertical="center"/>
    </xf>
    <xf numFmtId="181" fontId="3" fillId="4" borderId="4" xfId="0" applyNumberFormat="1" applyFont="1" applyFill="1" applyBorder="1" applyAlignment="1">
      <alignment vertical="center"/>
    </xf>
    <xf numFmtId="14" fontId="3" fillId="0" borderId="4" xfId="0" applyNumberFormat="1" applyFont="1" applyFill="1" applyBorder="1" applyAlignment="1">
      <alignment horizontal="center" vertical="center"/>
    </xf>
    <xf numFmtId="181" fontId="3" fillId="5" borderId="1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/>
    </xf>
    <xf numFmtId="182" fontId="3" fillId="0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58" fontId="3" fillId="7" borderId="1" xfId="0" applyNumberFormat="1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44" fontId="3" fillId="7" borderId="1" xfId="0" applyNumberFormat="1" applyFont="1" applyFill="1" applyBorder="1" applyAlignment="1">
      <alignment horizontal="center" vertical="center"/>
    </xf>
    <xf numFmtId="180" fontId="3" fillId="7" borderId="1" xfId="0" applyNumberFormat="1" applyFont="1" applyFill="1" applyBorder="1" applyAlignment="1">
      <alignment horizontal="center" vertical="center"/>
    </xf>
    <xf numFmtId="181" fontId="3" fillId="7" borderId="1" xfId="0" applyNumberFormat="1" applyFont="1" applyFill="1" applyBorder="1" applyAlignment="1">
      <alignment horizontal="center" vertical="center"/>
    </xf>
    <xf numFmtId="177" fontId="3" fillId="7" borderId="1" xfId="0" applyNumberFormat="1" applyFont="1" applyFill="1" applyBorder="1" applyAlignment="1">
      <alignment horizontal="center" vertical="center"/>
    </xf>
    <xf numFmtId="182" fontId="3" fillId="7" borderId="1" xfId="0" applyNumberFormat="1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5" fontId="3" fillId="7" borderId="1" xfId="0" applyNumberFormat="1" applyFont="1" applyFill="1" applyBorder="1" applyAlignment="1">
      <alignment horizontal="right" vertical="center"/>
    </xf>
    <xf numFmtId="5" fontId="3" fillId="7" borderId="1" xfId="0" applyNumberFormat="1" applyFont="1" applyFill="1" applyBorder="1" applyAlignment="1">
      <alignment horizontal="center" vertical="center"/>
    </xf>
    <xf numFmtId="181" fontId="3" fillId="4" borderId="1" xfId="0" applyNumberFormat="1" applyFont="1" applyFill="1" applyBorder="1" applyAlignment="1">
      <alignment horizontal="right" vertical="center"/>
    </xf>
    <xf numFmtId="182" fontId="3" fillId="5" borderId="1" xfId="0" applyNumberFormat="1" applyFont="1" applyFill="1" applyBorder="1" applyAlignment="1">
      <alignment horizontal="center" vertical="center"/>
    </xf>
    <xf numFmtId="181" fontId="3" fillId="0" borderId="4" xfId="0" applyNumberFormat="1" applyFont="1" applyFill="1" applyBorder="1" applyAlignment="1">
      <alignment horizontal="right" vertical="center"/>
    </xf>
    <xf numFmtId="3" fontId="3" fillId="8" borderId="1" xfId="0" applyNumberFormat="1" applyFont="1" applyFill="1" applyBorder="1" applyAlignment="1">
      <alignment horizontal="center" vertical="center"/>
    </xf>
    <xf numFmtId="177" fontId="3" fillId="8" borderId="1" xfId="0" applyNumberFormat="1" applyFont="1" applyFill="1" applyBorder="1" applyAlignment="1">
      <alignment horizontal="center" vertical="center"/>
    </xf>
    <xf numFmtId="5" fontId="3" fillId="8" borderId="1" xfId="0" applyNumberFormat="1" applyFont="1" applyFill="1" applyBorder="1" applyAlignment="1">
      <alignment horizontal="right" vertical="center"/>
    </xf>
    <xf numFmtId="3" fontId="3" fillId="7" borderId="1" xfId="0" applyNumberFormat="1" applyFont="1" applyFill="1" applyBorder="1" applyAlignment="1">
      <alignment horizontal="right" vertical="center"/>
    </xf>
    <xf numFmtId="179" fontId="3" fillId="4" borderId="1" xfId="0" applyNumberFormat="1" applyFont="1" applyFill="1" applyBorder="1" applyAlignment="1">
      <alignment horizontal="center" vertical="center"/>
    </xf>
    <xf numFmtId="180" fontId="3" fillId="9" borderId="1" xfId="0" applyNumberFormat="1" applyFont="1" applyFill="1" applyBorder="1" applyAlignment="1">
      <alignment horizontal="center" vertical="center"/>
    </xf>
    <xf numFmtId="182" fontId="3" fillId="9" borderId="1" xfId="0" applyNumberFormat="1" applyFont="1" applyFill="1" applyBorder="1" applyAlignment="1">
      <alignment horizontal="center" vertical="center"/>
    </xf>
    <xf numFmtId="3" fontId="3" fillId="9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3" fontId="3" fillId="10" borderId="1" xfId="0" applyNumberFormat="1" applyFont="1" applyFill="1" applyBorder="1" applyAlignment="1">
      <alignment horizontal="center" vertical="center"/>
    </xf>
    <xf numFmtId="24" fontId="3" fillId="0" borderId="1" xfId="0" applyNumberFormat="1" applyFont="1" applyFill="1" applyBorder="1" applyAlignment="1">
      <alignment horizontal="center" vertical="center"/>
    </xf>
    <xf numFmtId="58" fontId="3" fillId="9" borderId="1" xfId="0" applyNumberFormat="1" applyFont="1" applyFill="1" applyBorder="1" applyAlignment="1">
      <alignment horizontal="center" vertical="center"/>
    </xf>
    <xf numFmtId="177" fontId="3" fillId="9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182" fontId="3" fillId="0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181" fontId="3" fillId="6" borderId="4" xfId="0" applyNumberFormat="1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182" fontId="3" fillId="6" borderId="1" xfId="0" applyNumberFormat="1" applyFont="1" applyFill="1" applyBorder="1" applyAlignment="1">
      <alignment horizontal="center" vertical="center"/>
    </xf>
    <xf numFmtId="181" fontId="3" fillId="6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58" fontId="3" fillId="11" borderId="1" xfId="0" applyNumberFormat="1" applyFont="1" applyFill="1" applyBorder="1" applyAlignment="1">
      <alignment horizontal="center" vertical="center"/>
    </xf>
    <xf numFmtId="179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44" fontId="3" fillId="11" borderId="1" xfId="0" applyNumberFormat="1" applyFont="1" applyFill="1" applyBorder="1" applyAlignment="1">
      <alignment horizontal="center" vertical="center"/>
    </xf>
    <xf numFmtId="180" fontId="3" fillId="11" borderId="1" xfId="0" applyNumberFormat="1" applyFont="1" applyFill="1" applyBorder="1" applyAlignment="1">
      <alignment horizontal="center" vertical="center"/>
    </xf>
    <xf numFmtId="181" fontId="3" fillId="11" borderId="1" xfId="0" applyNumberFormat="1" applyFont="1" applyFill="1" applyBorder="1" applyAlignment="1">
      <alignment horizontal="center" vertical="center"/>
    </xf>
    <xf numFmtId="177" fontId="3" fillId="11" borderId="1" xfId="0" applyNumberFormat="1" applyFont="1" applyFill="1" applyBorder="1" applyAlignment="1">
      <alignment horizontal="center" vertical="center"/>
    </xf>
    <xf numFmtId="182" fontId="3" fillId="11" borderId="1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4" fontId="3" fillId="11" borderId="1" xfId="0" applyNumberFormat="1" applyFont="1" applyFill="1" applyBorder="1" applyAlignment="1">
      <alignment horizontal="center" vertical="center"/>
    </xf>
    <xf numFmtId="5" fontId="3" fillId="11" borderId="1" xfId="0" applyNumberFormat="1" applyFont="1" applyFill="1" applyBorder="1" applyAlignment="1">
      <alignment horizontal="right" vertical="center"/>
    </xf>
    <xf numFmtId="5" fontId="3" fillId="11" borderId="1" xfId="0" applyNumberFormat="1" applyFont="1" applyFill="1" applyBorder="1" applyAlignment="1">
      <alignment horizontal="center" vertical="center"/>
    </xf>
    <xf numFmtId="180" fontId="3" fillId="5" borderId="1" xfId="0" applyNumberFormat="1" applyFont="1" applyFill="1" applyBorder="1" applyAlignment="1">
      <alignment horizontal="center" vertical="center"/>
    </xf>
    <xf numFmtId="181" fontId="3" fillId="9" borderId="1" xfId="0" applyNumberFormat="1" applyFont="1" applyFill="1" applyBorder="1" applyAlignment="1">
      <alignment horizontal="center" vertical="center"/>
    </xf>
    <xf numFmtId="14" fontId="3" fillId="9" borderId="1" xfId="0" applyNumberFormat="1" applyFont="1" applyFill="1" applyBorder="1" applyAlignment="1">
      <alignment horizontal="center" vertical="center"/>
    </xf>
    <xf numFmtId="181" fontId="3" fillId="0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58" fontId="3" fillId="10" borderId="1" xfId="0" applyNumberFormat="1" applyFont="1" applyFill="1" applyBorder="1" applyAlignment="1">
      <alignment horizontal="center" vertical="center"/>
    </xf>
    <xf numFmtId="181" fontId="3" fillId="4" borderId="4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179" fontId="3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44" fontId="3" fillId="12" borderId="1" xfId="0" applyNumberFormat="1" applyFont="1" applyFill="1" applyBorder="1" applyAlignment="1">
      <alignment horizontal="center" vertical="center"/>
    </xf>
    <xf numFmtId="180" fontId="3" fillId="12" borderId="1" xfId="0" applyNumberFormat="1" applyFont="1" applyFill="1" applyBorder="1" applyAlignment="1">
      <alignment horizontal="center" vertical="center"/>
    </xf>
    <xf numFmtId="181" fontId="3" fillId="12" borderId="4" xfId="0" applyNumberFormat="1" applyFont="1" applyFill="1" applyBorder="1" applyAlignment="1">
      <alignment horizontal="center" vertical="center"/>
    </xf>
    <xf numFmtId="177" fontId="3" fillId="12" borderId="1" xfId="0" applyNumberFormat="1" applyFont="1" applyFill="1" applyBorder="1" applyAlignment="1">
      <alignment horizontal="center" vertical="center"/>
    </xf>
    <xf numFmtId="182" fontId="3" fillId="12" borderId="1" xfId="0" applyNumberFormat="1" applyFont="1" applyFill="1" applyBorder="1" applyAlignment="1">
      <alignment horizontal="center" vertical="center"/>
    </xf>
    <xf numFmtId="3" fontId="3" fillId="12" borderId="1" xfId="0" applyNumberFormat="1" applyFont="1" applyFill="1" applyBorder="1" applyAlignment="1">
      <alignment horizontal="center" vertical="center"/>
    </xf>
    <xf numFmtId="14" fontId="3" fillId="12" borderId="1" xfId="0" applyNumberFormat="1" applyFont="1" applyFill="1" applyBorder="1" applyAlignment="1">
      <alignment horizontal="center" vertical="center"/>
    </xf>
    <xf numFmtId="181" fontId="3" fillId="12" borderId="1" xfId="0" applyNumberFormat="1" applyFont="1" applyFill="1" applyBorder="1" applyAlignment="1">
      <alignment horizontal="center" vertical="center"/>
    </xf>
    <xf numFmtId="5" fontId="3" fillId="12" borderId="1" xfId="0" applyNumberFormat="1" applyFont="1" applyFill="1" applyBorder="1" applyAlignment="1">
      <alignment horizontal="right" vertical="center"/>
    </xf>
    <xf numFmtId="5" fontId="3" fillId="12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9" fontId="3" fillId="6" borderId="1" xfId="0" applyNumberFormat="1" applyFont="1" applyFill="1" applyBorder="1" applyAlignment="1">
      <alignment horizontal="center" vertical="center"/>
    </xf>
    <xf numFmtId="180" fontId="3" fillId="6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5" fontId="3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5" fontId="3" fillId="6" borderId="1" xfId="0" applyNumberFormat="1" applyFont="1" applyFill="1" applyBorder="1" applyAlignment="1">
      <alignment horizontal="center" vertical="center"/>
    </xf>
    <xf numFmtId="3" fontId="0" fillId="6" borderId="0" xfId="0" applyNumberFormat="1" applyFill="1">
      <alignment vertical="center"/>
    </xf>
    <xf numFmtId="177" fontId="3" fillId="0" borderId="1" xfId="0" applyNumberFormat="1" applyFont="1" applyFill="1" applyBorder="1" applyAlignment="1">
      <alignment horizontal="left" vertical="center"/>
    </xf>
    <xf numFmtId="180" fontId="3" fillId="0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horizontal="left" vertical="center"/>
    </xf>
    <xf numFmtId="24" fontId="3" fillId="1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44" fontId="0" fillId="0" borderId="0" xfId="0" applyNumberFormat="1" applyFill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181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82" fontId="0" fillId="0" borderId="0" xfId="0" applyNumberFormat="1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5" fontId="0" fillId="0" borderId="0" xfId="0" applyNumberFormat="1" applyFill="1" applyAlignment="1">
      <alignment horizontal="right" vertical="center"/>
    </xf>
    <xf numFmtId="5" fontId="0" fillId="0" borderId="0" xfId="0" applyNumberFormat="1" applyFill="1" applyAlignment="1">
      <alignment horizontal="center" vertical="center"/>
    </xf>
    <xf numFmtId="5" fontId="0" fillId="0" borderId="0" xfId="0" applyNumberFormat="1">
      <alignment vertical="center"/>
    </xf>
    <xf numFmtId="5" fontId="3" fillId="0" borderId="1" xfId="0" applyNumberFormat="1" applyFont="1" applyFill="1" applyBorder="1" applyAlignment="1">
      <alignment horizontal="left" vertical="center"/>
    </xf>
    <xf numFmtId="5" fontId="3" fillId="7" borderId="1" xfId="0" applyNumberFormat="1" applyFont="1" applyFill="1" applyBorder="1" applyAlignment="1">
      <alignment horizontal="left" vertical="center"/>
    </xf>
    <xf numFmtId="5" fontId="0" fillId="0" borderId="0" xfId="0" applyNumberFormat="1" applyFill="1">
      <alignment vertical="center"/>
    </xf>
    <xf numFmtId="0" fontId="3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E5F3FF"/>
      <color rgb="00A03128"/>
      <color rgb="003D8A8B"/>
      <color rgb="00C8E7E7"/>
      <color rgb="00F8E4E3"/>
      <color rgb="00FF0000"/>
      <color rgb="0033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9" Type="http://schemas.openxmlformats.org/officeDocument/2006/relationships/image" Target="../media/image8.jpeg"/><Relationship Id="rId8" Type="http://schemas.openxmlformats.org/officeDocument/2006/relationships/image" Target="../media/image7.jpeg"/><Relationship Id="rId7" Type="http://schemas.openxmlformats.org/officeDocument/2006/relationships/image" Target="../media/image9.jpeg"/><Relationship Id="rId6" Type="http://schemas.openxmlformats.org/officeDocument/2006/relationships/image" Target="../media/image6.jpeg"/><Relationship Id="rId5" Type="http://schemas.openxmlformats.org/officeDocument/2006/relationships/image" Target="../media/image4.jpeg"/><Relationship Id="rId4" Type="http://schemas.openxmlformats.org/officeDocument/2006/relationships/image" Target="../media/image5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J230"/>
  <sheetViews>
    <sheetView zoomScale="70" zoomScaleNormal="70" workbookViewId="0">
      <pane xSplit="9" ySplit="2" topLeftCell="J9" activePane="bottomRight" state="frozen"/>
      <selection/>
      <selection pane="topRight"/>
      <selection pane="bottomLeft"/>
      <selection pane="bottomRight" activeCell="G54" sqref="G54"/>
    </sheetView>
  </sheetViews>
  <sheetFormatPr defaultColWidth="9" defaultRowHeight="13.5"/>
  <cols>
    <col min="1" max="1" width="5.36666666666667" style="38" customWidth="1"/>
    <col min="2" max="2" width="10.6333333333333" style="38" customWidth="1"/>
    <col min="3" max="3" width="23.5416666666667" style="39" hidden="1" customWidth="1"/>
    <col min="4" max="4" width="10.6333333333333" style="39" hidden="1" customWidth="1"/>
    <col min="5" max="5" width="8.54166666666667" style="39" hidden="1" customWidth="1"/>
    <col min="6" max="6" width="23.725" style="38" hidden="1" customWidth="1"/>
    <col min="7" max="7" width="17.725" style="38" customWidth="1"/>
    <col min="8" max="8" width="19.725" style="38" customWidth="1"/>
    <col min="9" max="9" width="27.0916666666667" customWidth="1"/>
    <col min="10" max="10" width="16.5416666666667" style="5" customWidth="1"/>
    <col min="11" max="11" width="10.9083333333333" style="40" customWidth="1"/>
    <col min="12" max="12" width="12.4583333333333" style="41" customWidth="1"/>
    <col min="13" max="13" width="10.8166666666667" style="40" hidden="1" customWidth="1"/>
    <col min="14" max="14" width="18.3666666666667" style="42" customWidth="1"/>
    <col min="15" max="15" width="10.8166666666667" style="40" hidden="1" customWidth="1"/>
    <col min="16" max="16" width="18.3666666666667" style="43" customWidth="1"/>
    <col min="17" max="17" width="13.6333333333333" style="40" hidden="1" customWidth="1"/>
    <col min="18" max="18" width="12.725" style="44" customWidth="1"/>
    <col min="19" max="19" width="10.1833333333333" style="40" hidden="1" customWidth="1"/>
    <col min="20" max="20" width="13.8166666666667" style="43" customWidth="1"/>
    <col min="21" max="21" width="15.6333333333333" style="40" hidden="1" customWidth="1"/>
    <col min="22" max="22" width="15.6333333333333" style="43" customWidth="1"/>
    <col min="23" max="23" width="12.3666666666667" style="40" hidden="1" customWidth="1"/>
    <col min="24" max="24" width="15.3666666666667" style="41" customWidth="1"/>
    <col min="25" max="25" width="15.3666666666667" style="40" hidden="1" customWidth="1"/>
    <col min="26" max="26" width="15.3666666666667" style="41" customWidth="1"/>
    <col min="27" max="27" width="14.9083333333333" style="45" hidden="1" customWidth="1"/>
    <col min="28" max="28" width="12.4583333333333" style="41" customWidth="1"/>
    <col min="29" max="29" width="11.5416666666667" style="40" customWidth="1"/>
    <col min="30" max="30" width="21.275" style="44" customWidth="1"/>
    <col min="31" max="31" width="17.8166666666667" style="6" hidden="1" customWidth="1"/>
    <col min="32" max="32" width="19.1833333333333" style="44" customWidth="1"/>
    <col min="33" max="33" width="12.9083333333333" style="188" customWidth="1"/>
    <col min="34" max="34" width="8" customWidth="1"/>
    <col min="35" max="35" width="11.275" style="47" customWidth="1"/>
    <col min="36" max="36" width="11.0916666666667" style="48" customWidth="1"/>
    <col min="37" max="37" width="11.725"/>
  </cols>
  <sheetData>
    <row r="1" ht="33" customHeight="1" spans="1:36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50"/>
      <c r="O1" s="49"/>
      <c r="P1" s="49"/>
      <c r="Q1" s="51"/>
      <c r="R1" s="52"/>
      <c r="S1" s="51"/>
      <c r="T1" s="49"/>
      <c r="U1" s="49"/>
      <c r="V1" s="49"/>
      <c r="W1" s="49"/>
      <c r="X1" s="49"/>
      <c r="Y1" s="49"/>
      <c r="Z1" s="49"/>
      <c r="AA1" s="49"/>
      <c r="AB1" s="49"/>
      <c r="AC1" s="51"/>
      <c r="AD1" s="52"/>
      <c r="AE1" s="49"/>
      <c r="AF1" s="52"/>
      <c r="AG1" s="54"/>
      <c r="AH1" s="8"/>
      <c r="AI1" s="54"/>
    </row>
    <row r="2" ht="44" customHeight="1" spans="1:36">
      <c r="A2" s="13" t="s">
        <v>1</v>
      </c>
      <c r="B2" s="13" t="s">
        <v>2</v>
      </c>
      <c r="C2" s="55" t="s">
        <v>3</v>
      </c>
      <c r="D2" s="55" t="s">
        <v>4</v>
      </c>
      <c r="E2" s="55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7" t="s">
        <v>10</v>
      </c>
      <c r="K2" s="57" t="s">
        <v>11</v>
      </c>
      <c r="L2" s="58" t="s">
        <v>12</v>
      </c>
      <c r="M2" s="59" t="s">
        <v>13</v>
      </c>
      <c r="N2" s="60" t="s">
        <v>14</v>
      </c>
      <c r="O2" s="57" t="s">
        <v>15</v>
      </c>
      <c r="P2" s="61" t="s">
        <v>16</v>
      </c>
      <c r="Q2" s="57" t="s">
        <v>17</v>
      </c>
      <c r="R2" s="62" t="s">
        <v>18</v>
      </c>
      <c r="S2" s="57" t="s">
        <v>19</v>
      </c>
      <c r="T2" s="63" t="s">
        <v>20</v>
      </c>
      <c r="U2" s="57" t="s">
        <v>21</v>
      </c>
      <c r="V2" s="61" t="s">
        <v>22</v>
      </c>
      <c r="W2" s="59" t="s">
        <v>23</v>
      </c>
      <c r="X2" s="58" t="s">
        <v>24</v>
      </c>
      <c r="Y2" s="57" t="s">
        <v>25</v>
      </c>
      <c r="Z2" s="58" t="s">
        <v>26</v>
      </c>
      <c r="AA2" s="64" t="s">
        <v>27</v>
      </c>
      <c r="AB2" s="58" t="s">
        <v>28</v>
      </c>
      <c r="AC2" s="57" t="s">
        <v>29</v>
      </c>
      <c r="AD2" s="62" t="s">
        <v>30</v>
      </c>
      <c r="AE2" s="65" t="s">
        <v>31</v>
      </c>
      <c r="AF2" s="15" t="s">
        <v>32</v>
      </c>
      <c r="AG2" s="66" t="s">
        <v>33</v>
      </c>
      <c r="AH2" s="13" t="s">
        <v>34</v>
      </c>
      <c r="AI2" s="66" t="s">
        <v>35</v>
      </c>
    </row>
    <row r="3" s="1" customFormat="1" ht="18" customHeight="1" spans="1:36">
      <c r="A3" s="67">
        <v>1</v>
      </c>
      <c r="B3" s="68">
        <v>46042</v>
      </c>
      <c r="C3" s="69">
        <v>991193965818</v>
      </c>
      <c r="D3" s="69"/>
      <c r="E3" s="69"/>
      <c r="F3" s="67"/>
      <c r="G3" s="67" t="s">
        <v>36</v>
      </c>
      <c r="H3" s="67"/>
      <c r="I3" s="20" t="s">
        <v>37</v>
      </c>
      <c r="J3" s="25" t="s">
        <v>38</v>
      </c>
      <c r="K3" s="71"/>
      <c r="L3" s="72"/>
      <c r="M3" s="71">
        <v>46049</v>
      </c>
      <c r="N3" s="73">
        <v>560</v>
      </c>
      <c r="O3" s="71">
        <v>46040</v>
      </c>
      <c r="P3" s="74">
        <v>1937572.32</v>
      </c>
      <c r="Q3" s="71"/>
      <c r="R3" s="75"/>
      <c r="S3" s="71">
        <v>46030</v>
      </c>
      <c r="T3" s="76">
        <v>1500</v>
      </c>
      <c r="U3" s="71">
        <v>46039</v>
      </c>
      <c r="V3" s="74">
        <v>3763356.3</v>
      </c>
      <c r="W3" s="71">
        <v>46045</v>
      </c>
      <c r="X3" s="77">
        <v>5400000</v>
      </c>
      <c r="Y3" s="71">
        <v>46030</v>
      </c>
      <c r="Z3" s="78">
        <v>13595000</v>
      </c>
      <c r="AA3" s="79">
        <v>46056</v>
      </c>
      <c r="AB3" s="80">
        <v>1160000</v>
      </c>
      <c r="AC3" s="71">
        <v>46056</v>
      </c>
      <c r="AD3" s="80">
        <v>2770540</v>
      </c>
      <c r="AE3" s="81" t="s">
        <v>39</v>
      </c>
      <c r="AF3" s="75">
        <f>L3+P3+V3+X3+Z3+AB3+AD3+N3*2650+T3*2650</f>
        <v>34085468.62</v>
      </c>
      <c r="AG3" s="189">
        <f>AF3/AH3</f>
        <v>90652.8420744681</v>
      </c>
      <c r="AH3" s="20">
        <v>376</v>
      </c>
      <c r="AI3" s="84" t="s">
        <v>40</v>
      </c>
      <c r="AJ3" s="85"/>
    </row>
    <row r="4" s="1" customFormat="1" ht="18" customHeight="1" spans="1:36">
      <c r="A4" s="67">
        <v>2</v>
      </c>
      <c r="B4" s="68">
        <v>46043</v>
      </c>
      <c r="C4" s="69"/>
      <c r="D4" s="69"/>
      <c r="E4" s="69"/>
      <c r="F4" s="67"/>
      <c r="G4" s="67" t="s">
        <v>41</v>
      </c>
      <c r="H4" s="67"/>
      <c r="I4" s="20" t="s">
        <v>37</v>
      </c>
      <c r="J4" s="25" t="s">
        <v>38</v>
      </c>
      <c r="K4" s="71"/>
      <c r="L4" s="72"/>
      <c r="M4" s="71">
        <v>46049</v>
      </c>
      <c r="N4" s="73">
        <v>560</v>
      </c>
      <c r="O4" s="71">
        <v>46040</v>
      </c>
      <c r="P4" s="74">
        <v>1937572.32</v>
      </c>
      <c r="Q4" s="71"/>
      <c r="R4" s="75"/>
      <c r="S4" s="71">
        <v>46030</v>
      </c>
      <c r="T4" s="76">
        <v>1500</v>
      </c>
      <c r="U4" s="71">
        <v>46039</v>
      </c>
      <c r="V4" s="74">
        <v>3763356.3</v>
      </c>
      <c r="W4" s="71">
        <v>46045</v>
      </c>
      <c r="X4" s="77">
        <v>5400000</v>
      </c>
      <c r="Y4" s="71">
        <v>46030</v>
      </c>
      <c r="Z4" s="87">
        <v>13595000</v>
      </c>
      <c r="AA4" s="88">
        <v>46056</v>
      </c>
      <c r="AB4" s="80">
        <v>1010000</v>
      </c>
      <c r="AC4" s="71">
        <v>46056</v>
      </c>
      <c r="AD4" s="80">
        <v>2770540</v>
      </c>
      <c r="AE4" s="81" t="s">
        <v>39</v>
      </c>
      <c r="AF4" s="75">
        <f>L4+P4+V4+X4+Z4+AB4+AD4+N4*2650+T4*2650</f>
        <v>33935468.62</v>
      </c>
      <c r="AG4" s="189">
        <f t="shared" ref="AG4:AG9" si="0">AF4/AH4</f>
        <v>90253.9059042553</v>
      </c>
      <c r="AH4" s="20">
        <v>376</v>
      </c>
      <c r="AI4" s="84" t="s">
        <v>40</v>
      </c>
      <c r="AJ4" s="85"/>
    </row>
    <row r="5" s="1" customFormat="1" ht="18" customHeight="1" spans="1:36">
      <c r="A5" s="67">
        <v>3</v>
      </c>
      <c r="B5" s="68">
        <v>46047</v>
      </c>
      <c r="C5" s="69">
        <v>991500868207</v>
      </c>
      <c r="D5" s="69"/>
      <c r="E5" s="69"/>
      <c r="F5" s="67"/>
      <c r="G5" s="67" t="s">
        <v>42</v>
      </c>
      <c r="H5" s="67" t="s">
        <v>43</v>
      </c>
      <c r="I5" s="20" t="s">
        <v>44</v>
      </c>
      <c r="J5" s="25" t="s">
        <v>44</v>
      </c>
      <c r="K5" s="71">
        <v>46035</v>
      </c>
      <c r="L5" s="77">
        <v>733120</v>
      </c>
      <c r="M5" s="71">
        <v>46021</v>
      </c>
      <c r="N5" s="76">
        <f>693/3</f>
        <v>231</v>
      </c>
      <c r="O5" s="71">
        <v>46043</v>
      </c>
      <c r="P5" s="74">
        <v>1564541.23</v>
      </c>
      <c r="Q5" s="71"/>
      <c r="R5" s="75"/>
      <c r="S5" s="71">
        <v>46092</v>
      </c>
      <c r="T5" s="76">
        <v>230</v>
      </c>
      <c r="U5" s="71">
        <v>46043</v>
      </c>
      <c r="V5" s="74">
        <v>2605794</v>
      </c>
      <c r="W5" s="71">
        <v>46044</v>
      </c>
      <c r="X5" s="77">
        <f>27600000/5</f>
        <v>5520000</v>
      </c>
      <c r="Y5" s="71">
        <v>46014</v>
      </c>
      <c r="Z5" s="77">
        <f>78100296/3</f>
        <v>26033432</v>
      </c>
      <c r="AA5" s="27">
        <v>46014</v>
      </c>
      <c r="AB5" s="89">
        <v>1666667</v>
      </c>
      <c r="AC5" s="71">
        <v>46056</v>
      </c>
      <c r="AD5" s="80">
        <v>2043693</v>
      </c>
      <c r="AE5" s="81" t="s">
        <v>39</v>
      </c>
      <c r="AF5" s="75">
        <f t="shared" ref="AF3:AF9" si="1">L5+P5+V5+X5+Z5+AB5+AD5+N5*2650+T5*2650</f>
        <v>41388897.23</v>
      </c>
      <c r="AG5" s="189">
        <f t="shared" si="0"/>
        <v>110076.854335106</v>
      </c>
      <c r="AH5" s="20">
        <v>376</v>
      </c>
      <c r="AI5" s="84" t="s">
        <v>40</v>
      </c>
      <c r="AJ5" s="85"/>
    </row>
    <row r="6" s="1" customFormat="1" ht="18" customHeight="1" spans="1:36">
      <c r="A6" s="67">
        <v>4</v>
      </c>
      <c r="B6" s="68">
        <v>46047</v>
      </c>
      <c r="C6" s="69">
        <v>991500867969</v>
      </c>
      <c r="D6" s="69"/>
      <c r="E6" s="69"/>
      <c r="F6" s="67"/>
      <c r="G6" s="67" t="s">
        <v>45</v>
      </c>
      <c r="H6" s="67" t="s">
        <v>46</v>
      </c>
      <c r="I6" s="20" t="s">
        <v>44</v>
      </c>
      <c r="J6" s="25" t="s">
        <v>44</v>
      </c>
      <c r="K6" s="71">
        <v>46035</v>
      </c>
      <c r="L6" s="77">
        <v>931316</v>
      </c>
      <c r="M6" s="71">
        <v>46021</v>
      </c>
      <c r="N6" s="76">
        <f>693/3</f>
        <v>231</v>
      </c>
      <c r="O6" s="71">
        <v>46031</v>
      </c>
      <c r="P6" s="74">
        <v>1461000</v>
      </c>
      <c r="Q6" s="71"/>
      <c r="R6" s="75"/>
      <c r="S6" s="71">
        <v>46092</v>
      </c>
      <c r="T6" s="76">
        <v>230</v>
      </c>
      <c r="U6" s="71">
        <v>46043</v>
      </c>
      <c r="V6" s="74">
        <v>2605794</v>
      </c>
      <c r="W6" s="71">
        <v>46056</v>
      </c>
      <c r="X6" s="77">
        <f>27600000/5</f>
        <v>5520000</v>
      </c>
      <c r="Y6" s="71">
        <v>46014</v>
      </c>
      <c r="Z6" s="77">
        <f>78100296/3</f>
        <v>26033432</v>
      </c>
      <c r="AA6" s="27">
        <v>46014</v>
      </c>
      <c r="AB6" s="89">
        <v>1666667</v>
      </c>
      <c r="AC6" s="71">
        <v>46056</v>
      </c>
      <c r="AD6" s="80">
        <v>2043693</v>
      </c>
      <c r="AE6" s="81" t="s">
        <v>39</v>
      </c>
      <c r="AF6" s="75">
        <f t="shared" si="1"/>
        <v>41483552</v>
      </c>
      <c r="AG6" s="189">
        <f t="shared" si="0"/>
        <v>110328.595744681</v>
      </c>
      <c r="AH6" s="20">
        <v>376</v>
      </c>
      <c r="AI6" s="84" t="s">
        <v>40</v>
      </c>
      <c r="AJ6" s="85"/>
    </row>
    <row r="7" s="1" customFormat="1" ht="18" customHeight="1" spans="1:36">
      <c r="A7" s="67">
        <v>5</v>
      </c>
      <c r="B7" s="68">
        <v>46047</v>
      </c>
      <c r="C7" s="69"/>
      <c r="D7" s="69"/>
      <c r="E7" s="69"/>
      <c r="F7" s="67"/>
      <c r="G7" s="67" t="s">
        <v>47</v>
      </c>
      <c r="H7" s="67" t="s">
        <v>48</v>
      </c>
      <c r="I7" s="20" t="s">
        <v>44</v>
      </c>
      <c r="J7" s="25" t="s">
        <v>44</v>
      </c>
      <c r="K7" s="71"/>
      <c r="L7" s="72"/>
      <c r="M7" s="71">
        <v>46021</v>
      </c>
      <c r="N7" s="76">
        <f>693/3</f>
        <v>231</v>
      </c>
      <c r="O7" s="71">
        <v>46031</v>
      </c>
      <c r="P7" s="74">
        <v>1461000</v>
      </c>
      <c r="Q7" s="71"/>
      <c r="R7" s="75"/>
      <c r="S7" s="71">
        <v>46092</v>
      </c>
      <c r="T7" s="76">
        <v>230</v>
      </c>
      <c r="U7" s="71">
        <v>46043</v>
      </c>
      <c r="V7" s="74">
        <v>2605794</v>
      </c>
      <c r="W7" s="71">
        <v>46056</v>
      </c>
      <c r="X7" s="77">
        <f>27600000/5</f>
        <v>5520000</v>
      </c>
      <c r="Y7" s="71">
        <v>46014</v>
      </c>
      <c r="Z7" s="77">
        <f>78100296/3</f>
        <v>26033432</v>
      </c>
      <c r="AA7" s="27">
        <v>46014</v>
      </c>
      <c r="AB7" s="89">
        <v>1666667</v>
      </c>
      <c r="AC7" s="71">
        <v>46056</v>
      </c>
      <c r="AD7" s="80">
        <v>2043693</v>
      </c>
      <c r="AE7" s="81" t="s">
        <v>39</v>
      </c>
      <c r="AF7" s="75">
        <f t="shared" si="1"/>
        <v>40552236</v>
      </c>
      <c r="AG7" s="189">
        <f t="shared" si="0"/>
        <v>107851.691489362</v>
      </c>
      <c r="AH7" s="20">
        <v>376</v>
      </c>
      <c r="AI7" s="84" t="s">
        <v>40</v>
      </c>
      <c r="AJ7" s="85"/>
    </row>
    <row r="8" s="1" customFormat="1" ht="18" customHeight="1" spans="1:36">
      <c r="A8" s="67">
        <v>6</v>
      </c>
      <c r="B8" s="68">
        <v>46048</v>
      </c>
      <c r="C8" s="69"/>
      <c r="D8" s="69"/>
      <c r="E8" s="69"/>
      <c r="F8" s="67" t="s">
        <v>49</v>
      </c>
      <c r="G8" s="67" t="s">
        <v>50</v>
      </c>
      <c r="H8" s="67" t="s">
        <v>51</v>
      </c>
      <c r="I8" s="20" t="s">
        <v>52</v>
      </c>
      <c r="J8" s="25" t="s">
        <v>53</v>
      </c>
      <c r="K8" s="71">
        <v>46038</v>
      </c>
      <c r="L8" s="77">
        <v>751707</v>
      </c>
      <c r="M8" s="71">
        <v>46037</v>
      </c>
      <c r="N8" s="90">
        <v>308</v>
      </c>
      <c r="O8" s="71">
        <v>46038</v>
      </c>
      <c r="P8" s="74">
        <v>1350097.24</v>
      </c>
      <c r="Q8" s="71"/>
      <c r="R8" s="75"/>
      <c r="S8" s="71"/>
      <c r="T8" s="91"/>
      <c r="U8" s="71">
        <v>46043</v>
      </c>
      <c r="V8" s="74">
        <v>2216630</v>
      </c>
      <c r="W8" s="71">
        <v>46056</v>
      </c>
      <c r="X8" s="77">
        <f>27600000/5</f>
        <v>5520000</v>
      </c>
      <c r="Y8" s="71">
        <v>46027</v>
      </c>
      <c r="Z8" s="77">
        <v>24710225</v>
      </c>
      <c r="AA8" s="27"/>
      <c r="AB8" s="72"/>
      <c r="AC8" s="71">
        <v>46056</v>
      </c>
      <c r="AD8" s="80">
        <v>2590000</v>
      </c>
      <c r="AE8" s="81" t="s">
        <v>39</v>
      </c>
      <c r="AF8" s="75">
        <f t="shared" si="1"/>
        <v>37954859.24</v>
      </c>
      <c r="AG8" s="189">
        <f t="shared" si="0"/>
        <v>100943.774574468</v>
      </c>
      <c r="AH8" s="20">
        <v>376</v>
      </c>
      <c r="AI8" s="84" t="s">
        <v>40</v>
      </c>
      <c r="AJ8" s="85"/>
    </row>
    <row r="9" s="1" customFormat="1" ht="18" customHeight="1" spans="1:36">
      <c r="A9" s="67">
        <v>7</v>
      </c>
      <c r="B9" s="68">
        <v>46052</v>
      </c>
      <c r="C9" s="69"/>
      <c r="D9" s="69"/>
      <c r="E9" s="69"/>
      <c r="F9" s="67"/>
      <c r="G9" s="67" t="s">
        <v>54</v>
      </c>
      <c r="H9" s="67" t="s">
        <v>55</v>
      </c>
      <c r="I9" s="20" t="s">
        <v>56</v>
      </c>
      <c r="J9" s="25" t="s">
        <v>56</v>
      </c>
      <c r="K9" s="71">
        <v>46044</v>
      </c>
      <c r="L9" s="77">
        <v>189000</v>
      </c>
      <c r="M9" s="71"/>
      <c r="N9" s="82"/>
      <c r="O9" s="71">
        <v>46044</v>
      </c>
      <c r="P9" s="74">
        <v>1848718.67</v>
      </c>
      <c r="Q9" s="71"/>
      <c r="R9" s="75"/>
      <c r="S9" s="71"/>
      <c r="T9" s="91"/>
      <c r="U9" s="71">
        <v>46045</v>
      </c>
      <c r="V9" s="74">
        <v>4203183.6</v>
      </c>
      <c r="W9" s="71">
        <v>46056</v>
      </c>
      <c r="X9" s="77">
        <f>27600000/5</f>
        <v>5520000</v>
      </c>
      <c r="Y9" s="71">
        <v>46044</v>
      </c>
      <c r="Z9" s="77">
        <v>6441731</v>
      </c>
      <c r="AA9" s="27"/>
      <c r="AB9" s="72"/>
      <c r="AC9" s="71">
        <v>46056</v>
      </c>
      <c r="AD9" s="80">
        <v>3171751</v>
      </c>
      <c r="AE9" s="81" t="s">
        <v>39</v>
      </c>
      <c r="AF9" s="75">
        <f t="shared" si="1"/>
        <v>21374384.27</v>
      </c>
      <c r="AG9" s="189">
        <f t="shared" si="0"/>
        <v>56846.7666755319</v>
      </c>
      <c r="AH9" s="20">
        <v>376</v>
      </c>
      <c r="AI9" s="84" t="s">
        <v>40</v>
      </c>
      <c r="AJ9" s="85"/>
    </row>
    <row r="10" s="1" customFormat="1" ht="8" customHeight="1" spans="1:36">
      <c r="A10" s="92"/>
      <c r="B10" s="93"/>
      <c r="C10" s="94"/>
      <c r="D10" s="94"/>
      <c r="E10" s="94"/>
      <c r="F10" s="92"/>
      <c r="G10" s="92"/>
      <c r="H10" s="92"/>
      <c r="I10" s="95"/>
      <c r="J10" s="96"/>
      <c r="K10" s="97"/>
      <c r="L10" s="98"/>
      <c r="M10" s="97"/>
      <c r="N10" s="99"/>
      <c r="O10" s="97"/>
      <c r="P10" s="100"/>
      <c r="Q10" s="100"/>
      <c r="R10" s="101"/>
      <c r="S10" s="100"/>
      <c r="T10" s="100"/>
      <c r="U10" s="97"/>
      <c r="V10" s="100"/>
      <c r="W10" s="97"/>
      <c r="X10" s="98"/>
      <c r="Y10" s="97"/>
      <c r="Z10" s="98"/>
      <c r="AA10" s="102"/>
      <c r="AB10" s="98"/>
      <c r="AC10" s="97"/>
      <c r="AD10" s="101"/>
      <c r="AE10" s="102"/>
      <c r="AF10" s="101"/>
      <c r="AG10" s="190"/>
      <c r="AH10" s="95"/>
      <c r="AI10" s="104"/>
      <c r="AJ10" s="85"/>
    </row>
    <row r="11" s="1" customFormat="1" ht="18" customHeight="1" spans="1:36">
      <c r="A11" s="67">
        <v>1</v>
      </c>
      <c r="B11" s="68">
        <v>46091</v>
      </c>
      <c r="C11" s="69"/>
      <c r="D11" s="69"/>
      <c r="E11" s="69"/>
      <c r="F11" s="67"/>
      <c r="G11" s="163" t="s">
        <v>57</v>
      </c>
      <c r="H11" s="67" t="s">
        <v>58</v>
      </c>
      <c r="I11" s="20" t="s">
        <v>37</v>
      </c>
      <c r="J11" s="25" t="s">
        <v>59</v>
      </c>
      <c r="K11" s="71">
        <v>46086</v>
      </c>
      <c r="L11" s="105">
        <f>709180/2</f>
        <v>354590</v>
      </c>
      <c r="M11" s="71">
        <v>46083</v>
      </c>
      <c r="N11" s="82">
        <f>266.88/2</f>
        <v>133.44</v>
      </c>
      <c r="O11" s="71">
        <v>46083</v>
      </c>
      <c r="P11" s="74">
        <f>3152625.95/2</f>
        <v>1576312.975</v>
      </c>
      <c r="Q11" s="71"/>
      <c r="R11" s="75"/>
      <c r="S11" s="71"/>
      <c r="T11" s="91"/>
      <c r="U11" s="71">
        <v>46087</v>
      </c>
      <c r="V11" s="74">
        <f>4665484/2+350000</f>
        <v>2682742</v>
      </c>
      <c r="W11" s="71">
        <v>46092</v>
      </c>
      <c r="X11" s="77">
        <f>11270000/2</f>
        <v>5635000</v>
      </c>
      <c r="Y11" s="71">
        <v>46083</v>
      </c>
      <c r="Z11" s="77">
        <f>29558776+5000000</f>
        <v>34558776</v>
      </c>
      <c r="AA11" s="27"/>
      <c r="AB11" s="72"/>
      <c r="AC11" s="71">
        <v>46094</v>
      </c>
      <c r="AD11" s="80">
        <f>(5000000+262729+1180000)/2</f>
        <v>3221364.5</v>
      </c>
      <c r="AE11" s="27" t="s">
        <v>60</v>
      </c>
      <c r="AF11" s="75">
        <f>L11+P11+V11+X11+Z11+AB11+AD11+N11*2650+R11</f>
        <v>48382401.475</v>
      </c>
      <c r="AG11" s="189">
        <f>AF11/AH11</f>
        <v>130516.324453736</v>
      </c>
      <c r="AH11" s="20">
        <v>370.7</v>
      </c>
      <c r="AI11" s="84" t="s">
        <v>40</v>
      </c>
      <c r="AJ11" s="85"/>
    </row>
    <row r="12" s="1" customFormat="1" ht="18" customHeight="1" spans="1:36">
      <c r="A12" s="67">
        <v>2</v>
      </c>
      <c r="B12" s="68">
        <v>46091</v>
      </c>
      <c r="C12" s="69"/>
      <c r="D12" s="69"/>
      <c r="E12" s="69"/>
      <c r="F12" s="67"/>
      <c r="G12" s="163" t="s">
        <v>61</v>
      </c>
      <c r="H12" s="67" t="s">
        <v>62</v>
      </c>
      <c r="I12" s="20" t="s">
        <v>37</v>
      </c>
      <c r="J12" s="25" t="s">
        <v>59</v>
      </c>
      <c r="K12" s="71">
        <v>46086</v>
      </c>
      <c r="L12" s="105">
        <f>709180/2</f>
        <v>354590</v>
      </c>
      <c r="M12" s="71">
        <v>46083</v>
      </c>
      <c r="N12" s="82">
        <f>266.88/2</f>
        <v>133.44</v>
      </c>
      <c r="O12" s="71">
        <v>46084</v>
      </c>
      <c r="P12" s="74">
        <f>3152625.95/2</f>
        <v>1576312.975</v>
      </c>
      <c r="Q12" s="71"/>
      <c r="R12" s="75"/>
      <c r="S12" s="71"/>
      <c r="T12" s="91"/>
      <c r="U12" s="71">
        <v>46087</v>
      </c>
      <c r="V12" s="74">
        <f>4665484/2+350000</f>
        <v>2682742</v>
      </c>
      <c r="W12" s="71">
        <v>46092</v>
      </c>
      <c r="X12" s="77">
        <f>11270000/2</f>
        <v>5635000</v>
      </c>
      <c r="Y12" s="71">
        <v>46083</v>
      </c>
      <c r="Z12" s="77">
        <f>21772501+5000000</f>
        <v>26772501</v>
      </c>
      <c r="AA12" s="27"/>
      <c r="AB12" s="72"/>
      <c r="AC12" s="71">
        <v>46094</v>
      </c>
      <c r="AD12" s="80">
        <f>(5000000+262729+1180000)/2</f>
        <v>3221364.5</v>
      </c>
      <c r="AE12" s="27" t="s">
        <v>60</v>
      </c>
      <c r="AF12" s="75">
        <f>L12+P12+V12+X12+Z12+AB12+AD12+N12*2650+R12</f>
        <v>40596126.475</v>
      </c>
      <c r="AG12" s="189">
        <f t="shared" ref="AG11:AG21" si="2">AF12/AH12</f>
        <v>109512.075735096</v>
      </c>
      <c r="AH12" s="20">
        <v>370.7</v>
      </c>
      <c r="AI12" s="84" t="s">
        <v>40</v>
      </c>
      <c r="AJ12" s="85"/>
    </row>
    <row r="13" s="1" customFormat="1" ht="18" customHeight="1" spans="1:36">
      <c r="A13" s="67">
        <v>3</v>
      </c>
      <c r="B13" s="68">
        <v>46098</v>
      </c>
      <c r="C13" s="69"/>
      <c r="D13" s="69"/>
      <c r="E13" s="69"/>
      <c r="F13" s="67" t="s">
        <v>63</v>
      </c>
      <c r="G13" s="163" t="s">
        <v>64</v>
      </c>
      <c r="H13" s="67" t="s">
        <v>65</v>
      </c>
      <c r="I13" s="20" t="s">
        <v>37</v>
      </c>
      <c r="J13" s="25" t="s">
        <v>59</v>
      </c>
      <c r="K13" s="71">
        <v>46068</v>
      </c>
      <c r="L13" s="78">
        <v>90000</v>
      </c>
      <c r="M13" s="71">
        <v>46092</v>
      </c>
      <c r="N13" s="90">
        <f>(147.57+249.18)/2</f>
        <v>198.375</v>
      </c>
      <c r="O13" s="71">
        <v>46092</v>
      </c>
      <c r="P13" s="74">
        <f>3422389.19/2</f>
        <v>1711194.595</v>
      </c>
      <c r="Q13" s="71">
        <v>46095</v>
      </c>
      <c r="R13" s="75">
        <f t="shared" ref="R11:R14" si="3">4469958/2</f>
        <v>2234979</v>
      </c>
      <c r="S13" s="71">
        <v>46112</v>
      </c>
      <c r="T13" s="118">
        <v>360</v>
      </c>
      <c r="U13" s="71">
        <v>46093</v>
      </c>
      <c r="V13" s="74">
        <f>4469958/2</f>
        <v>2234979</v>
      </c>
      <c r="W13" s="71">
        <v>46114</v>
      </c>
      <c r="X13" s="72">
        <v>5500000</v>
      </c>
      <c r="Y13" s="71">
        <v>46069</v>
      </c>
      <c r="Z13" s="77">
        <f>11911073+5000000</f>
        <v>16911073</v>
      </c>
      <c r="AA13" s="27">
        <v>46104</v>
      </c>
      <c r="AB13" s="72">
        <f>3500000/2</f>
        <v>1750000</v>
      </c>
      <c r="AC13" s="71">
        <v>46120</v>
      </c>
      <c r="AD13" s="75">
        <f>6980000/2</f>
        <v>3490000</v>
      </c>
      <c r="AE13" s="81" t="s">
        <v>39</v>
      </c>
      <c r="AF13" s="75">
        <f>L13+P13+V13+X13+Z13+AB13+AD13+N13*2650+R13+T13*AJ13</f>
        <v>35401919.345</v>
      </c>
      <c r="AG13" s="189">
        <f t="shared" si="2"/>
        <v>95500.1870650121</v>
      </c>
      <c r="AH13" s="20">
        <v>370.7</v>
      </c>
      <c r="AI13" s="84" t="s">
        <v>40</v>
      </c>
      <c r="AJ13" s="85">
        <v>2650</v>
      </c>
    </row>
    <row r="14" s="1" customFormat="1" ht="18" customHeight="1" spans="1:36">
      <c r="A14" s="67">
        <v>4</v>
      </c>
      <c r="B14" s="68">
        <v>46101</v>
      </c>
      <c r="C14" s="67" t="s">
        <v>66</v>
      </c>
      <c r="D14" s="67"/>
      <c r="E14" s="67"/>
      <c r="F14" s="67" t="s">
        <v>63</v>
      </c>
      <c r="G14" s="163" t="s">
        <v>67</v>
      </c>
      <c r="H14" s="67" t="s">
        <v>68</v>
      </c>
      <c r="I14" s="20" t="s">
        <v>37</v>
      </c>
      <c r="J14" s="25" t="s">
        <v>59</v>
      </c>
      <c r="K14" s="71">
        <v>46068</v>
      </c>
      <c r="L14" s="78">
        <v>90000</v>
      </c>
      <c r="M14" s="71">
        <v>46092</v>
      </c>
      <c r="N14" s="90">
        <f>(147.57+249.18)/2</f>
        <v>198.375</v>
      </c>
      <c r="O14" s="71">
        <v>46092</v>
      </c>
      <c r="P14" s="74">
        <f>3422389.19/2</f>
        <v>1711194.595</v>
      </c>
      <c r="Q14" s="71">
        <v>46095</v>
      </c>
      <c r="R14" s="75">
        <f t="shared" si="3"/>
        <v>2234979</v>
      </c>
      <c r="S14" s="71">
        <v>46112</v>
      </c>
      <c r="T14" s="118">
        <v>200</v>
      </c>
      <c r="U14" s="71">
        <v>46093</v>
      </c>
      <c r="V14" s="74">
        <f>4469958/2</f>
        <v>2234979</v>
      </c>
      <c r="W14" s="71">
        <v>46114</v>
      </c>
      <c r="X14" s="72">
        <v>5500000</v>
      </c>
      <c r="Y14" s="71">
        <v>46069</v>
      </c>
      <c r="Z14" s="77">
        <f>11911073+5000000</f>
        <v>16911073</v>
      </c>
      <c r="AA14" s="27">
        <v>46104</v>
      </c>
      <c r="AB14" s="72">
        <f>3500000/2</f>
        <v>1750000</v>
      </c>
      <c r="AC14" s="71">
        <v>46120</v>
      </c>
      <c r="AD14" s="75">
        <f>6980000/2</f>
        <v>3490000</v>
      </c>
      <c r="AE14" s="81" t="s">
        <v>39</v>
      </c>
      <c r="AF14" s="75">
        <f>L14+P14+V14+X14+Z14+AB14+AD14+N14*2650+R14+T14*AJ14</f>
        <v>34977919.345</v>
      </c>
      <c r="AG14" s="189">
        <f t="shared" si="2"/>
        <v>94356.4050310224</v>
      </c>
      <c r="AH14" s="20">
        <v>370.7</v>
      </c>
      <c r="AI14" s="84" t="s">
        <v>40</v>
      </c>
      <c r="AJ14" s="85">
        <v>2650</v>
      </c>
    </row>
    <row r="15" s="1" customFormat="1" ht="18" customHeight="1" spans="1:36">
      <c r="A15" s="67">
        <v>5</v>
      </c>
      <c r="B15" s="68">
        <v>46102</v>
      </c>
      <c r="C15" s="69"/>
      <c r="D15" s="69"/>
      <c r="E15" s="69"/>
      <c r="F15" s="67" t="s">
        <v>69</v>
      </c>
      <c r="G15" s="163" t="s">
        <v>70</v>
      </c>
      <c r="H15" s="67" t="s">
        <v>62</v>
      </c>
      <c r="I15" s="20" t="s">
        <v>37</v>
      </c>
      <c r="J15" s="25" t="s">
        <v>59</v>
      </c>
      <c r="K15" s="71">
        <v>46093</v>
      </c>
      <c r="L15" s="105">
        <f>180000/5</f>
        <v>36000</v>
      </c>
      <c r="M15" s="71">
        <v>46092</v>
      </c>
      <c r="N15" s="90">
        <f>(17.7+622.95)/5</f>
        <v>128.13</v>
      </c>
      <c r="O15" s="71">
        <v>46092</v>
      </c>
      <c r="P15" s="74">
        <v>1437654.52</v>
      </c>
      <c r="Q15" s="71"/>
      <c r="R15" s="75"/>
      <c r="S15" s="71"/>
      <c r="T15" s="91"/>
      <c r="U15" s="71">
        <v>46098</v>
      </c>
      <c r="V15" s="74">
        <f>12547087.5/5</f>
        <v>2509417.5</v>
      </c>
      <c r="W15" s="71">
        <v>46114</v>
      </c>
      <c r="X15" s="72">
        <f>10000000-4500000</f>
        <v>5500000</v>
      </c>
      <c r="Y15" s="71">
        <v>46070</v>
      </c>
      <c r="Z15" s="77">
        <v>24884058</v>
      </c>
      <c r="AA15" s="27"/>
      <c r="AB15" s="72"/>
      <c r="AC15" s="71"/>
      <c r="AD15" s="75"/>
      <c r="AE15" s="27" t="s">
        <v>60</v>
      </c>
      <c r="AF15" s="75">
        <f>L15+P15+V15+X15+Z15+AB15+AD15+N15*2650+R15+T15*AJ15</f>
        <v>34706674.52</v>
      </c>
      <c r="AG15" s="189">
        <f t="shared" si="2"/>
        <v>93624.6952252495</v>
      </c>
      <c r="AH15" s="20">
        <v>370.7</v>
      </c>
      <c r="AI15" s="84" t="s">
        <v>40</v>
      </c>
      <c r="AJ15" s="85">
        <v>2650</v>
      </c>
    </row>
    <row r="16" s="1" customFormat="1" ht="18" customHeight="1" spans="1:36">
      <c r="A16" s="67">
        <v>6</v>
      </c>
      <c r="B16" s="68">
        <v>46103</v>
      </c>
      <c r="C16" s="69"/>
      <c r="D16" s="69">
        <v>28040</v>
      </c>
      <c r="E16" s="69">
        <v>61</v>
      </c>
      <c r="F16" s="67" t="s">
        <v>69</v>
      </c>
      <c r="G16" s="163" t="s">
        <v>71</v>
      </c>
      <c r="H16" s="67" t="s">
        <v>72</v>
      </c>
      <c r="I16" s="20" t="s">
        <v>37</v>
      </c>
      <c r="J16" s="25" t="s">
        <v>59</v>
      </c>
      <c r="K16" s="71">
        <v>46093</v>
      </c>
      <c r="L16" s="105">
        <f>180000/5</f>
        <v>36000</v>
      </c>
      <c r="M16" s="71">
        <v>46092</v>
      </c>
      <c r="N16" s="90">
        <f>(17.7+622.95)/5</f>
        <v>128.13</v>
      </c>
      <c r="O16" s="71">
        <v>46092</v>
      </c>
      <c r="P16" s="74">
        <v>1437654.52</v>
      </c>
      <c r="Q16" s="71"/>
      <c r="R16" s="75"/>
      <c r="S16" s="71"/>
      <c r="T16" s="91"/>
      <c r="U16" s="71">
        <v>46098</v>
      </c>
      <c r="V16" s="74">
        <f>12547087.5/5</f>
        <v>2509417.5</v>
      </c>
      <c r="W16" s="71">
        <v>46114</v>
      </c>
      <c r="X16" s="72">
        <f t="shared" ref="X16:X21" si="4">10000000-4500000</f>
        <v>5500000</v>
      </c>
      <c r="Y16" s="71">
        <v>46070</v>
      </c>
      <c r="Z16" s="77">
        <v>24884058</v>
      </c>
      <c r="AA16" s="27"/>
      <c r="AB16" s="72"/>
      <c r="AC16" s="71"/>
      <c r="AD16" s="75"/>
      <c r="AE16" s="27" t="s">
        <v>60</v>
      </c>
      <c r="AF16" s="75">
        <f t="shared" ref="AF13:AF21" si="5">L16+P16+V16+X16+Z16+AB16+AD16+N16*2650+R16</f>
        <v>34706674.52</v>
      </c>
      <c r="AG16" s="189">
        <f t="shared" si="2"/>
        <v>93624.6952252495</v>
      </c>
      <c r="AH16" s="20">
        <v>370.7</v>
      </c>
      <c r="AI16" s="84" t="s">
        <v>40</v>
      </c>
      <c r="AJ16" s="85"/>
    </row>
    <row r="17" s="1" customFormat="1" ht="18" customHeight="1" spans="1:36">
      <c r="A17" s="67">
        <v>7</v>
      </c>
      <c r="B17" s="68">
        <v>46103</v>
      </c>
      <c r="C17" s="69"/>
      <c r="D17" s="69">
        <v>27680</v>
      </c>
      <c r="E17" s="69">
        <v>55</v>
      </c>
      <c r="F17" s="67" t="s">
        <v>69</v>
      </c>
      <c r="G17" s="163" t="s">
        <v>73</v>
      </c>
      <c r="H17" s="67" t="s">
        <v>74</v>
      </c>
      <c r="I17" s="20" t="s">
        <v>37</v>
      </c>
      <c r="J17" s="25" t="s">
        <v>59</v>
      </c>
      <c r="K17" s="71">
        <v>46093</v>
      </c>
      <c r="L17" s="105">
        <f>180000/5</f>
        <v>36000</v>
      </c>
      <c r="M17" s="71">
        <v>46092</v>
      </c>
      <c r="N17" s="90">
        <f>(17.7+622.95)/5</f>
        <v>128.13</v>
      </c>
      <c r="O17" s="71">
        <v>46092</v>
      </c>
      <c r="P17" s="74">
        <v>1437654.52</v>
      </c>
      <c r="Q17" s="71"/>
      <c r="R17" s="75"/>
      <c r="S17" s="71"/>
      <c r="T17" s="91"/>
      <c r="U17" s="71">
        <v>46098</v>
      </c>
      <c r="V17" s="74">
        <f>12547087.5/5</f>
        <v>2509417.5</v>
      </c>
      <c r="W17" s="71">
        <v>46114</v>
      </c>
      <c r="X17" s="72">
        <f t="shared" si="4"/>
        <v>5500000</v>
      </c>
      <c r="Y17" s="71">
        <v>46070</v>
      </c>
      <c r="Z17" s="77">
        <v>24884058</v>
      </c>
      <c r="AA17" s="27"/>
      <c r="AB17" s="72"/>
      <c r="AC17" s="71"/>
      <c r="AD17" s="75"/>
      <c r="AE17" s="27" t="s">
        <v>60</v>
      </c>
      <c r="AF17" s="75">
        <f t="shared" si="5"/>
        <v>34706674.52</v>
      </c>
      <c r="AG17" s="189">
        <f t="shared" si="2"/>
        <v>93624.6952252495</v>
      </c>
      <c r="AH17" s="20">
        <v>370.7</v>
      </c>
      <c r="AI17" s="84" t="s">
        <v>40</v>
      </c>
      <c r="AJ17" s="85"/>
    </row>
    <row r="18" s="1" customFormat="1" ht="18" customHeight="1" spans="1:36">
      <c r="A18" s="67">
        <v>8</v>
      </c>
      <c r="B18" s="68">
        <v>46108</v>
      </c>
      <c r="C18" s="69"/>
      <c r="D18" s="69"/>
      <c r="E18" s="69"/>
      <c r="F18" s="67" t="s">
        <v>69</v>
      </c>
      <c r="G18" s="163" t="s">
        <v>75</v>
      </c>
      <c r="H18" s="67" t="s">
        <v>76</v>
      </c>
      <c r="I18" s="20" t="s">
        <v>37</v>
      </c>
      <c r="J18" s="25" t="s">
        <v>59</v>
      </c>
      <c r="K18" s="71">
        <v>46093</v>
      </c>
      <c r="L18" s="105">
        <f>180000/5</f>
        <v>36000</v>
      </c>
      <c r="M18" s="71">
        <v>46092</v>
      </c>
      <c r="N18" s="90">
        <f>(17.7+622.95)/5</f>
        <v>128.13</v>
      </c>
      <c r="O18" s="71">
        <v>46092</v>
      </c>
      <c r="P18" s="74">
        <v>1437654.52</v>
      </c>
      <c r="Q18" s="71"/>
      <c r="R18" s="75"/>
      <c r="S18" s="71"/>
      <c r="T18" s="91"/>
      <c r="U18" s="71">
        <v>46098</v>
      </c>
      <c r="V18" s="74">
        <f>12547087.5/5</f>
        <v>2509417.5</v>
      </c>
      <c r="W18" s="71">
        <v>46114</v>
      </c>
      <c r="X18" s="72">
        <f t="shared" si="4"/>
        <v>5500000</v>
      </c>
      <c r="Y18" s="71">
        <v>46070</v>
      </c>
      <c r="Z18" s="77">
        <v>24884058</v>
      </c>
      <c r="AA18" s="27"/>
      <c r="AB18" s="72"/>
      <c r="AC18" s="71"/>
      <c r="AD18" s="75"/>
      <c r="AE18" s="27" t="s">
        <v>60</v>
      </c>
      <c r="AF18" s="75">
        <f t="shared" si="5"/>
        <v>34706674.52</v>
      </c>
      <c r="AG18" s="189">
        <f t="shared" si="2"/>
        <v>93624.6952252495</v>
      </c>
      <c r="AH18" s="20">
        <v>370.7</v>
      </c>
      <c r="AI18" s="84" t="s">
        <v>40</v>
      </c>
      <c r="AJ18" s="85"/>
    </row>
    <row r="19" s="1" customFormat="1" ht="18" customHeight="1" spans="1:36">
      <c r="A19" s="67">
        <v>9</v>
      </c>
      <c r="B19" s="68">
        <v>46108</v>
      </c>
      <c r="C19" s="69"/>
      <c r="D19" s="69"/>
      <c r="E19" s="69"/>
      <c r="F19" s="67" t="s">
        <v>69</v>
      </c>
      <c r="G19" s="163" t="s">
        <v>77</v>
      </c>
      <c r="H19" s="67" t="s">
        <v>78</v>
      </c>
      <c r="I19" s="20" t="s">
        <v>37</v>
      </c>
      <c r="J19" s="25" t="s">
        <v>59</v>
      </c>
      <c r="K19" s="71">
        <v>46093</v>
      </c>
      <c r="L19" s="105">
        <f>180000/5</f>
        <v>36000</v>
      </c>
      <c r="M19" s="71">
        <v>46092</v>
      </c>
      <c r="N19" s="90">
        <f>(17.7+622.95)/5</f>
        <v>128.13</v>
      </c>
      <c r="O19" s="71">
        <v>46092</v>
      </c>
      <c r="P19" s="74">
        <v>1437654.52</v>
      </c>
      <c r="Q19" s="71"/>
      <c r="R19" s="75"/>
      <c r="S19" s="71"/>
      <c r="T19" s="91"/>
      <c r="U19" s="71">
        <v>46098</v>
      </c>
      <c r="V19" s="74">
        <f>12547087.5/5</f>
        <v>2509417.5</v>
      </c>
      <c r="W19" s="71">
        <v>46114</v>
      </c>
      <c r="X19" s="72">
        <f t="shared" si="4"/>
        <v>5500000</v>
      </c>
      <c r="Y19" s="71">
        <v>46070</v>
      </c>
      <c r="Z19" s="77">
        <v>24884058</v>
      </c>
      <c r="AA19" s="27"/>
      <c r="AB19" s="72"/>
      <c r="AC19" s="71"/>
      <c r="AD19" s="75"/>
      <c r="AE19" s="27" t="s">
        <v>60</v>
      </c>
      <c r="AF19" s="75">
        <f t="shared" si="5"/>
        <v>34706674.52</v>
      </c>
      <c r="AG19" s="189">
        <f t="shared" si="2"/>
        <v>93624.6952252495</v>
      </c>
      <c r="AH19" s="20">
        <v>370.7</v>
      </c>
      <c r="AI19" s="84" t="s">
        <v>40</v>
      </c>
      <c r="AJ19" s="85"/>
    </row>
    <row r="20" s="1" customFormat="1" ht="18" customHeight="1" spans="1:36">
      <c r="A20" s="67">
        <v>10</v>
      </c>
      <c r="B20" s="68">
        <v>46109</v>
      </c>
      <c r="C20" s="69"/>
      <c r="D20" s="69"/>
      <c r="E20" s="69"/>
      <c r="F20" s="67" t="s">
        <v>79</v>
      </c>
      <c r="G20" s="163" t="s">
        <v>80</v>
      </c>
      <c r="H20" s="67" t="s">
        <v>68</v>
      </c>
      <c r="I20" s="20" t="s">
        <v>37</v>
      </c>
      <c r="J20" s="25" t="s">
        <v>59</v>
      </c>
      <c r="K20" s="71">
        <v>46092</v>
      </c>
      <c r="L20" s="105">
        <f>189000/2</f>
        <v>94500</v>
      </c>
      <c r="M20" s="71">
        <v>46092</v>
      </c>
      <c r="N20" s="90">
        <f>(249.18+17.7)/2</f>
        <v>133.44</v>
      </c>
      <c r="O20" s="71">
        <v>46101</v>
      </c>
      <c r="P20" s="91">
        <f>2878014/2</f>
        <v>1439007</v>
      </c>
      <c r="Q20" s="71"/>
      <c r="R20" s="75"/>
      <c r="S20" s="71"/>
      <c r="T20" s="91"/>
      <c r="U20" s="71">
        <v>46105</v>
      </c>
      <c r="V20" s="91">
        <f>7242840/2</f>
        <v>3621420</v>
      </c>
      <c r="W20" s="71">
        <v>46114</v>
      </c>
      <c r="X20" s="72">
        <f t="shared" si="4"/>
        <v>5500000</v>
      </c>
      <c r="Y20" s="71">
        <v>46056</v>
      </c>
      <c r="Z20" s="77">
        <v>22984355</v>
      </c>
      <c r="AA20" s="27">
        <v>46071</v>
      </c>
      <c r="AB20" s="77">
        <f>6096117/2</f>
        <v>3048058.5</v>
      </c>
      <c r="AC20" s="71"/>
      <c r="AD20" s="75"/>
      <c r="AE20" s="27" t="s">
        <v>60</v>
      </c>
      <c r="AF20" s="75">
        <f t="shared" si="5"/>
        <v>37040956.5</v>
      </c>
      <c r="AG20" s="189">
        <f t="shared" si="2"/>
        <v>99921.6522794713</v>
      </c>
      <c r="AH20" s="20">
        <v>370.7</v>
      </c>
      <c r="AI20" s="84" t="s">
        <v>40</v>
      </c>
      <c r="AJ20" s="85"/>
    </row>
    <row r="21" s="1" customFormat="1" ht="18" customHeight="1" spans="1:36">
      <c r="A21" s="67">
        <v>11</v>
      </c>
      <c r="B21" s="68">
        <v>46109</v>
      </c>
      <c r="C21" s="69"/>
      <c r="D21" s="69"/>
      <c r="E21" s="69"/>
      <c r="F21" s="67" t="s">
        <v>79</v>
      </c>
      <c r="G21" s="163" t="s">
        <v>81</v>
      </c>
      <c r="H21" s="67" t="s">
        <v>62</v>
      </c>
      <c r="I21" s="20" t="s">
        <v>37</v>
      </c>
      <c r="J21" s="25" t="s">
        <v>59</v>
      </c>
      <c r="K21" s="71">
        <v>46092</v>
      </c>
      <c r="L21" s="105">
        <f>189000/2</f>
        <v>94500</v>
      </c>
      <c r="M21" s="71">
        <v>46092</v>
      </c>
      <c r="N21" s="90">
        <f>(249.18+17.7)/2</f>
        <v>133.44</v>
      </c>
      <c r="O21" s="71">
        <v>46101</v>
      </c>
      <c r="P21" s="91">
        <f>2878014/2</f>
        <v>1439007</v>
      </c>
      <c r="Q21" s="71"/>
      <c r="R21" s="75"/>
      <c r="S21" s="71"/>
      <c r="T21" s="91"/>
      <c r="U21" s="71">
        <v>46105</v>
      </c>
      <c r="V21" s="91">
        <f>7242840/2</f>
        <v>3621420</v>
      </c>
      <c r="W21" s="71">
        <v>46114</v>
      </c>
      <c r="X21" s="72">
        <f t="shared" si="4"/>
        <v>5500000</v>
      </c>
      <c r="Y21" s="71">
        <v>46056</v>
      </c>
      <c r="Z21" s="77">
        <v>22984355</v>
      </c>
      <c r="AA21" s="27">
        <v>46071</v>
      </c>
      <c r="AB21" s="77">
        <f>6096117/2</f>
        <v>3048058.5</v>
      </c>
      <c r="AC21" s="71"/>
      <c r="AD21" s="75"/>
      <c r="AE21" s="27" t="s">
        <v>60</v>
      </c>
      <c r="AF21" s="75">
        <f t="shared" si="5"/>
        <v>37040956.5</v>
      </c>
      <c r="AG21" s="189">
        <f t="shared" si="2"/>
        <v>99921.6522794713</v>
      </c>
      <c r="AH21" s="20">
        <v>370.7</v>
      </c>
      <c r="AI21" s="84" t="s">
        <v>40</v>
      </c>
      <c r="AJ21" s="85"/>
    </row>
    <row r="22" s="1" customFormat="1" ht="18" customHeight="1" spans="1:36">
      <c r="A22" s="67"/>
      <c r="B22" s="67"/>
      <c r="C22" s="69"/>
      <c r="D22" s="69"/>
      <c r="E22" s="69"/>
      <c r="F22" s="67"/>
      <c r="G22" s="67"/>
      <c r="H22" s="67"/>
      <c r="I22" s="20"/>
      <c r="J22" s="25"/>
      <c r="K22" s="71"/>
      <c r="L22" s="107"/>
      <c r="M22" s="71">
        <v>46092</v>
      </c>
      <c r="N22" s="90">
        <v>18</v>
      </c>
      <c r="O22" s="71"/>
      <c r="P22" s="91"/>
      <c r="Q22" s="71"/>
      <c r="R22" s="75"/>
      <c r="S22" s="71"/>
      <c r="T22" s="91"/>
      <c r="U22" s="71"/>
      <c r="V22" s="91"/>
      <c r="W22" s="71"/>
      <c r="X22" s="72"/>
      <c r="Y22" s="71"/>
      <c r="Z22" s="72"/>
      <c r="AA22" s="27"/>
      <c r="AB22" s="72"/>
      <c r="AC22" s="71"/>
      <c r="AD22" s="75"/>
      <c r="AE22" s="27" t="s">
        <v>82</v>
      </c>
      <c r="AF22" s="75">
        <f>SUM(AF11:AF21)</f>
        <v>406973652.24</v>
      </c>
      <c r="AG22" s="84">
        <f>SUM(AG11:AG21)</f>
        <v>1097851.77297006</v>
      </c>
      <c r="AH22" s="20"/>
      <c r="AI22" s="84"/>
      <c r="AJ22" s="85"/>
    </row>
    <row r="23" s="1" customFormat="1" ht="8" customHeight="1" spans="1:36">
      <c r="A23" s="92"/>
      <c r="B23" s="93"/>
      <c r="C23" s="94"/>
      <c r="D23" s="94"/>
      <c r="E23" s="94"/>
      <c r="F23" s="92"/>
      <c r="G23" s="92"/>
      <c r="H23" s="92"/>
      <c r="I23" s="95"/>
      <c r="J23" s="96"/>
      <c r="K23" s="97"/>
      <c r="L23" s="98"/>
      <c r="M23" s="97"/>
      <c r="N23" s="99"/>
      <c r="O23" s="97"/>
      <c r="P23" s="100"/>
      <c r="Q23" s="100"/>
      <c r="R23" s="101"/>
      <c r="S23" s="100"/>
      <c r="T23" s="100"/>
      <c r="U23" s="97"/>
      <c r="V23" s="100"/>
      <c r="W23" s="97"/>
      <c r="X23" s="98"/>
      <c r="Y23" s="97"/>
      <c r="Z23" s="98"/>
      <c r="AA23" s="102"/>
      <c r="AB23" s="98"/>
      <c r="AC23" s="97"/>
      <c r="AD23" s="101"/>
      <c r="AE23" s="102"/>
      <c r="AF23" s="101"/>
      <c r="AG23" s="101"/>
      <c r="AH23" s="101"/>
      <c r="AI23" s="104"/>
      <c r="AJ23" s="85"/>
    </row>
    <row r="24" s="1" customFormat="1" ht="18" customHeight="1" spans="1:36">
      <c r="A24" s="67">
        <v>1</v>
      </c>
      <c r="B24" s="68"/>
      <c r="C24" s="69"/>
      <c r="D24" s="69"/>
      <c r="E24" s="69"/>
      <c r="F24" s="67" t="s">
        <v>83</v>
      </c>
      <c r="G24" s="67" t="s">
        <v>84</v>
      </c>
      <c r="H24" s="67"/>
      <c r="I24" s="20"/>
      <c r="J24" s="25"/>
      <c r="K24" s="71">
        <v>46106</v>
      </c>
      <c r="L24" s="72">
        <v>180000</v>
      </c>
      <c r="M24" s="71">
        <v>46106</v>
      </c>
      <c r="N24" s="82">
        <v>140</v>
      </c>
      <c r="O24" s="71">
        <v>46104</v>
      </c>
      <c r="P24" s="91">
        <v>1181404.87</v>
      </c>
      <c r="Q24" s="71"/>
      <c r="R24" s="75"/>
      <c r="S24" s="71">
        <v>46113</v>
      </c>
      <c r="T24" s="118">
        <f>890+2834.36</f>
        <v>3724.36</v>
      </c>
      <c r="U24" s="71"/>
      <c r="V24" s="91"/>
      <c r="W24" s="71"/>
      <c r="X24" s="72"/>
      <c r="Y24" s="71">
        <v>46104</v>
      </c>
      <c r="Z24" s="72">
        <v>27648536</v>
      </c>
      <c r="AA24" s="27"/>
      <c r="AB24" s="72"/>
      <c r="AC24" s="71"/>
      <c r="AD24" s="75"/>
      <c r="AE24" s="27"/>
      <c r="AF24" s="75">
        <f>L24+P24+V24+X24+Z24+AB24+AD24+N24*2650+R24+T24*AJ24</f>
        <v>39250494.87</v>
      </c>
      <c r="AG24" s="189">
        <f>AF24/AH24</f>
        <v>105063.023287561</v>
      </c>
      <c r="AH24" s="20">
        <v>373.59</v>
      </c>
      <c r="AI24" s="84" t="s">
        <v>40</v>
      </c>
      <c r="AJ24" s="85">
        <v>2650</v>
      </c>
    </row>
    <row r="25" s="1" customFormat="1" ht="18" customHeight="1" spans="1:36">
      <c r="A25" s="67">
        <v>2</v>
      </c>
      <c r="B25" s="67"/>
      <c r="C25" s="69"/>
      <c r="D25" s="69"/>
      <c r="E25" s="69"/>
      <c r="F25" s="67" t="s">
        <v>85</v>
      </c>
      <c r="G25" s="67" t="s">
        <v>86</v>
      </c>
      <c r="H25" s="67" t="s">
        <v>87</v>
      </c>
      <c r="I25" s="20" t="s">
        <v>88</v>
      </c>
      <c r="J25" s="25" t="s">
        <v>89</v>
      </c>
      <c r="K25" s="71"/>
      <c r="L25" s="72"/>
      <c r="M25" s="71"/>
      <c r="N25" s="82"/>
      <c r="O25" s="71"/>
      <c r="P25" s="91"/>
      <c r="Q25" s="82"/>
      <c r="R25" s="75"/>
      <c r="S25" s="82"/>
      <c r="T25" s="118"/>
      <c r="U25" s="71"/>
      <c r="V25" s="91"/>
      <c r="W25" s="71"/>
      <c r="X25" s="72"/>
      <c r="Y25" s="71">
        <v>46088</v>
      </c>
      <c r="Z25" s="77">
        <f>12764277+5000000</f>
        <v>17764277</v>
      </c>
      <c r="AA25" s="27"/>
      <c r="AB25" s="72"/>
      <c r="AC25" s="71"/>
      <c r="AD25" s="75"/>
      <c r="AE25" s="27"/>
      <c r="AF25" s="75">
        <f>L25+P25+V25+X25+Z25+AB25+AD25+N25*2650+R25</f>
        <v>17764277</v>
      </c>
      <c r="AG25" s="189">
        <f>AF25/AH25</f>
        <v>47550.1940630103</v>
      </c>
      <c r="AH25" s="20">
        <v>373.59</v>
      </c>
      <c r="AI25" s="84" t="s">
        <v>40</v>
      </c>
      <c r="AJ25" s="85"/>
    </row>
    <row r="26" s="1" customFormat="1" ht="18" customHeight="1" spans="1:36">
      <c r="A26" s="67">
        <v>3</v>
      </c>
      <c r="B26" s="67"/>
      <c r="C26" s="69"/>
      <c r="D26" s="69"/>
      <c r="E26" s="69"/>
      <c r="F26" s="67" t="s">
        <v>90</v>
      </c>
      <c r="G26" s="67" t="s">
        <v>91</v>
      </c>
      <c r="H26" s="67" t="s">
        <v>92</v>
      </c>
      <c r="I26" s="20" t="s">
        <v>88</v>
      </c>
      <c r="J26" s="67" t="s">
        <v>88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71">
        <v>46088</v>
      </c>
      <c r="Z26" s="77">
        <f>6298687+5000000</f>
        <v>11298687</v>
      </c>
      <c r="AA26" s="27"/>
      <c r="AB26" s="72"/>
      <c r="AC26" s="71"/>
      <c r="AD26" s="75"/>
      <c r="AE26" s="27"/>
      <c r="AF26" s="75">
        <f>L26+P26+V26+X26+Z26+AB26+AD26+N26*2650+R26</f>
        <v>11298687</v>
      </c>
      <c r="AG26" s="189">
        <f t="shared" ref="AG26:AG34" si="6">AF26/AH26</f>
        <v>30243.5477395005</v>
      </c>
      <c r="AH26" s="20">
        <v>373.59</v>
      </c>
      <c r="AI26" s="84" t="s">
        <v>40</v>
      </c>
      <c r="AJ26" s="85"/>
    </row>
    <row r="27" s="1" customFormat="1" ht="18" customHeight="1" spans="1:36">
      <c r="A27" s="67">
        <v>4</v>
      </c>
      <c r="B27" s="67"/>
      <c r="C27" s="69"/>
      <c r="D27" s="69"/>
      <c r="E27" s="69"/>
      <c r="F27" s="67"/>
      <c r="G27" s="67" t="s">
        <v>93</v>
      </c>
      <c r="H27" s="67"/>
      <c r="I27" s="20" t="s">
        <v>88</v>
      </c>
      <c r="J27" s="25"/>
      <c r="K27" s="71"/>
      <c r="L27" s="72"/>
      <c r="M27" s="71"/>
      <c r="N27" s="82"/>
      <c r="O27" s="71"/>
      <c r="P27" s="91"/>
      <c r="Q27" s="71"/>
      <c r="R27" s="75"/>
      <c r="S27" s="71"/>
      <c r="T27" s="91"/>
      <c r="U27" s="71"/>
      <c r="V27" s="91"/>
      <c r="W27" s="71"/>
      <c r="X27" s="72"/>
      <c r="Y27" s="71"/>
      <c r="Z27" s="72">
        <f>15046367+5000000</f>
        <v>20046367</v>
      </c>
      <c r="AA27" s="27"/>
      <c r="AB27" s="72"/>
      <c r="AC27" s="71"/>
      <c r="AD27" s="75"/>
      <c r="AE27" s="27"/>
      <c r="AF27" s="75">
        <f>L27+P27+V27+X27+Z27+AB27+AD27+N27*2650+R27</f>
        <v>20046367</v>
      </c>
      <c r="AG27" s="189">
        <f t="shared" si="6"/>
        <v>53658.7355121925</v>
      </c>
      <c r="AH27" s="20">
        <v>373.59</v>
      </c>
      <c r="AI27" s="84" t="s">
        <v>40</v>
      </c>
      <c r="AJ27" s="85"/>
    </row>
    <row r="28" s="1" customFormat="1" ht="18" customHeight="1" spans="1:36">
      <c r="A28" s="67">
        <v>5</v>
      </c>
      <c r="B28" s="67"/>
      <c r="C28" s="69"/>
      <c r="D28" s="69"/>
      <c r="E28" s="69"/>
      <c r="F28" s="67"/>
      <c r="G28" s="67" t="s">
        <v>94</v>
      </c>
      <c r="H28" s="67"/>
      <c r="I28" s="20"/>
      <c r="J28" s="25"/>
      <c r="K28" s="71"/>
      <c r="L28" s="146"/>
      <c r="M28" s="71"/>
      <c r="N28" s="82"/>
      <c r="O28" s="71"/>
      <c r="P28" s="91"/>
      <c r="Q28" s="71"/>
      <c r="R28" s="75"/>
      <c r="S28" s="71">
        <v>46092</v>
      </c>
      <c r="T28" s="76">
        <v>200</v>
      </c>
      <c r="U28" s="71"/>
      <c r="V28" s="91"/>
      <c r="W28" s="71"/>
      <c r="X28" s="72"/>
      <c r="Y28" s="71"/>
      <c r="Z28" s="72"/>
      <c r="AA28" s="27"/>
      <c r="AB28" s="72"/>
      <c r="AC28" s="71"/>
      <c r="AD28" s="75"/>
      <c r="AE28" s="27"/>
      <c r="AF28" s="75">
        <f t="shared" ref="AF26:AF34" si="7">L28+P28+V28+X28+Z28+AB28+AD28</f>
        <v>0</v>
      </c>
      <c r="AG28" s="189">
        <f t="shared" si="6"/>
        <v>0</v>
      </c>
      <c r="AH28" s="20">
        <v>373.59</v>
      </c>
      <c r="AI28" s="84" t="s">
        <v>40</v>
      </c>
      <c r="AJ28" s="85"/>
    </row>
    <row r="29" s="1" customFormat="1" ht="18" customHeight="1" spans="1:36">
      <c r="A29" s="67">
        <v>6</v>
      </c>
      <c r="B29" s="67"/>
      <c r="C29" s="69"/>
      <c r="D29" s="69"/>
      <c r="E29" s="69"/>
      <c r="F29" s="67"/>
      <c r="G29" s="67" t="s">
        <v>95</v>
      </c>
      <c r="H29" s="67"/>
      <c r="I29" s="20"/>
      <c r="J29" s="25"/>
      <c r="K29" s="71"/>
      <c r="L29" s="146"/>
      <c r="M29" s="71"/>
      <c r="N29" s="82"/>
      <c r="O29" s="71"/>
      <c r="P29" s="91"/>
      <c r="Q29" s="71"/>
      <c r="R29" s="75"/>
      <c r="S29" s="71">
        <v>46092</v>
      </c>
      <c r="T29" s="76">
        <f>60+15</f>
        <v>75</v>
      </c>
      <c r="U29" s="71"/>
      <c r="V29" s="91"/>
      <c r="W29" s="71"/>
      <c r="X29" s="72"/>
      <c r="Y29" s="71"/>
      <c r="Z29" s="72"/>
      <c r="AA29" s="27"/>
      <c r="AB29" s="72"/>
      <c r="AC29" s="71"/>
      <c r="AD29" s="75"/>
      <c r="AE29" s="27"/>
      <c r="AF29" s="75">
        <f t="shared" si="7"/>
        <v>0</v>
      </c>
      <c r="AG29" s="189">
        <f t="shared" si="6"/>
        <v>0</v>
      </c>
      <c r="AH29" s="20">
        <v>373.59</v>
      </c>
      <c r="AI29" s="84" t="s">
        <v>40</v>
      </c>
      <c r="AJ29" s="85"/>
    </row>
    <row r="30" s="1" customFormat="1" ht="18" customHeight="1" spans="1:36">
      <c r="A30" s="67">
        <v>7</v>
      </c>
      <c r="B30" s="67"/>
      <c r="C30" s="69"/>
      <c r="D30" s="69"/>
      <c r="E30" s="69"/>
      <c r="F30" s="67"/>
      <c r="G30" s="67" t="s">
        <v>96</v>
      </c>
      <c r="H30" s="67"/>
      <c r="I30" s="20"/>
      <c r="J30" s="25"/>
      <c r="K30" s="71"/>
      <c r="L30" s="146"/>
      <c r="M30" s="71"/>
      <c r="N30" s="82"/>
      <c r="O30" s="71"/>
      <c r="P30" s="91"/>
      <c r="Q30" s="71"/>
      <c r="R30" s="75"/>
      <c r="S30" s="71">
        <v>46092</v>
      </c>
      <c r="T30" s="76">
        <v>40</v>
      </c>
      <c r="U30" s="71"/>
      <c r="V30" s="91"/>
      <c r="W30" s="71"/>
      <c r="X30" s="72"/>
      <c r="Y30" s="71"/>
      <c r="Z30" s="72"/>
      <c r="AA30" s="27"/>
      <c r="AB30" s="72"/>
      <c r="AC30" s="71"/>
      <c r="AD30" s="75"/>
      <c r="AE30" s="27"/>
      <c r="AF30" s="75">
        <f t="shared" si="7"/>
        <v>0</v>
      </c>
      <c r="AG30" s="189">
        <f t="shared" si="6"/>
        <v>0</v>
      </c>
      <c r="AH30" s="20">
        <v>373.59</v>
      </c>
      <c r="AI30" s="84" t="s">
        <v>40</v>
      </c>
      <c r="AJ30" s="85"/>
    </row>
    <row r="31" s="1" customFormat="1" ht="18" customHeight="1" spans="1:36">
      <c r="A31" s="67">
        <v>8</v>
      </c>
      <c r="B31" s="67"/>
      <c r="C31" s="69"/>
      <c r="D31" s="69"/>
      <c r="E31" s="69"/>
      <c r="F31" s="67"/>
      <c r="G31" s="67" t="s">
        <v>97</v>
      </c>
      <c r="H31" s="67"/>
      <c r="I31" s="20"/>
      <c r="J31" s="25"/>
      <c r="K31" s="71"/>
      <c r="L31" s="146"/>
      <c r="M31" s="71"/>
      <c r="N31" s="82"/>
      <c r="O31" s="71"/>
      <c r="P31" s="91"/>
      <c r="Q31" s="71"/>
      <c r="R31" s="75"/>
      <c r="S31" s="71">
        <v>46092</v>
      </c>
      <c r="T31" s="76">
        <v>20</v>
      </c>
      <c r="U31" s="71"/>
      <c r="V31" s="91"/>
      <c r="W31" s="71"/>
      <c r="X31" s="72"/>
      <c r="Y31" s="71"/>
      <c r="Z31" s="72"/>
      <c r="AA31" s="27"/>
      <c r="AB31" s="72"/>
      <c r="AC31" s="71"/>
      <c r="AD31" s="75"/>
      <c r="AE31" s="27"/>
      <c r="AF31" s="75">
        <f t="shared" si="7"/>
        <v>0</v>
      </c>
      <c r="AG31" s="189">
        <f t="shared" si="6"/>
        <v>0</v>
      </c>
      <c r="AH31" s="20">
        <v>373.59</v>
      </c>
      <c r="AI31" s="84" t="s">
        <v>40</v>
      </c>
      <c r="AJ31" s="85"/>
    </row>
    <row r="32" s="1" customFormat="1" ht="18" customHeight="1" spans="1:36">
      <c r="A32" s="67">
        <v>9</v>
      </c>
      <c r="B32" s="67"/>
      <c r="C32" s="69"/>
      <c r="D32" s="69"/>
      <c r="E32" s="69"/>
      <c r="F32" s="67"/>
      <c r="G32" s="67" t="s">
        <v>98</v>
      </c>
      <c r="H32" s="67"/>
      <c r="I32" s="20"/>
      <c r="J32" s="25"/>
      <c r="K32" s="71"/>
      <c r="L32" s="146"/>
      <c r="M32" s="71"/>
      <c r="N32" s="82"/>
      <c r="O32" s="71"/>
      <c r="P32" s="91"/>
      <c r="Q32" s="71"/>
      <c r="R32" s="75"/>
      <c r="S32" s="71">
        <v>46092</v>
      </c>
      <c r="T32" s="76">
        <v>60</v>
      </c>
      <c r="U32" s="71"/>
      <c r="V32" s="91"/>
      <c r="W32" s="71"/>
      <c r="X32" s="72"/>
      <c r="Y32" s="71"/>
      <c r="Z32" s="72"/>
      <c r="AA32" s="27"/>
      <c r="AB32" s="72"/>
      <c r="AC32" s="71"/>
      <c r="AD32" s="75"/>
      <c r="AE32" s="27"/>
      <c r="AF32" s="75">
        <f t="shared" si="7"/>
        <v>0</v>
      </c>
      <c r="AG32" s="189">
        <f t="shared" si="6"/>
        <v>0</v>
      </c>
      <c r="AH32" s="20">
        <v>370.7</v>
      </c>
      <c r="AI32" s="84" t="s">
        <v>40</v>
      </c>
      <c r="AJ32" s="85"/>
    </row>
    <row r="33" s="1" customFormat="1" ht="18" customHeight="1" spans="1:36">
      <c r="A33" s="67"/>
      <c r="B33" s="67"/>
      <c r="C33" s="69"/>
      <c r="D33" s="69"/>
      <c r="E33" s="69"/>
      <c r="F33" s="67" t="s">
        <v>99</v>
      </c>
      <c r="G33" s="67" t="s">
        <v>100</v>
      </c>
      <c r="H33" s="67"/>
      <c r="I33" s="20"/>
      <c r="J33" s="25"/>
      <c r="K33" s="71"/>
      <c r="L33" s="72"/>
      <c r="M33" s="71"/>
      <c r="N33" s="82"/>
      <c r="O33" s="71"/>
      <c r="P33" s="91"/>
      <c r="Q33" s="71"/>
      <c r="R33" s="75"/>
      <c r="S33" s="71"/>
      <c r="T33" s="91"/>
      <c r="U33" s="71"/>
      <c r="V33" s="91"/>
      <c r="W33" s="71"/>
      <c r="X33" s="72"/>
      <c r="Y33" s="71"/>
      <c r="Z33" s="72"/>
      <c r="AA33" s="27"/>
      <c r="AB33" s="72"/>
      <c r="AC33" s="71"/>
      <c r="AD33" s="75"/>
      <c r="AE33" s="27"/>
      <c r="AF33" s="75">
        <f t="shared" si="7"/>
        <v>0</v>
      </c>
      <c r="AG33" s="189">
        <f t="shared" si="6"/>
        <v>0</v>
      </c>
      <c r="AH33" s="20">
        <v>370.7</v>
      </c>
      <c r="AI33" s="84" t="s">
        <v>40</v>
      </c>
      <c r="AJ33" s="85"/>
    </row>
    <row r="34" s="1" customFormat="1" ht="18" customHeight="1" spans="1:36">
      <c r="A34" s="67"/>
      <c r="B34" s="67"/>
      <c r="C34" s="69"/>
      <c r="D34" s="69"/>
      <c r="E34" s="69"/>
      <c r="F34" s="67" t="s">
        <v>101</v>
      </c>
      <c r="G34" s="67" t="s">
        <v>102</v>
      </c>
      <c r="H34" s="67"/>
      <c r="I34" s="20"/>
      <c r="J34" s="25"/>
      <c r="K34" s="71"/>
      <c r="L34" s="72"/>
      <c r="M34" s="71"/>
      <c r="N34" s="82"/>
      <c r="O34" s="71"/>
      <c r="P34" s="91"/>
      <c r="Q34" s="71"/>
      <c r="R34" s="75"/>
      <c r="S34" s="71"/>
      <c r="T34" s="91"/>
      <c r="U34" s="71"/>
      <c r="V34" s="91"/>
      <c r="W34" s="71"/>
      <c r="X34" s="72"/>
      <c r="Y34" s="71"/>
      <c r="Z34" s="72"/>
      <c r="AA34" s="27"/>
      <c r="AB34" s="72"/>
      <c r="AC34" s="71"/>
      <c r="AD34" s="75"/>
      <c r="AE34" s="27"/>
      <c r="AF34" s="75">
        <f t="shared" si="7"/>
        <v>0</v>
      </c>
      <c r="AG34" s="189">
        <f t="shared" si="6"/>
        <v>0</v>
      </c>
      <c r="AH34" s="20">
        <v>370.7</v>
      </c>
      <c r="AI34" s="84" t="s">
        <v>40</v>
      </c>
      <c r="AJ34" s="85"/>
    </row>
    <row r="35" s="1" customFormat="1" ht="18" customHeight="1" spans="1:36">
      <c r="A35" s="67"/>
      <c r="B35" s="67"/>
      <c r="C35" s="69"/>
      <c r="D35" s="69"/>
      <c r="E35" s="69"/>
      <c r="F35" s="67" t="s">
        <v>101</v>
      </c>
      <c r="G35" s="67" t="s">
        <v>103</v>
      </c>
      <c r="H35" s="67"/>
      <c r="I35" s="20"/>
      <c r="J35" s="25"/>
      <c r="K35" s="71"/>
      <c r="L35" s="72"/>
      <c r="M35" s="71"/>
      <c r="N35" s="82"/>
      <c r="O35" s="71"/>
      <c r="P35" s="91"/>
      <c r="Q35" s="71"/>
      <c r="R35" s="75"/>
      <c r="S35" s="71"/>
      <c r="T35" s="91"/>
      <c r="U35" s="71"/>
      <c r="V35" s="91"/>
      <c r="W35" s="71"/>
      <c r="X35" s="72"/>
      <c r="Y35" s="71"/>
      <c r="Z35" s="72"/>
      <c r="AA35" s="27"/>
      <c r="AB35" s="72"/>
      <c r="AC35" s="71"/>
      <c r="AD35" s="75"/>
      <c r="AE35" s="27"/>
      <c r="AF35" s="75"/>
      <c r="AG35" s="189"/>
      <c r="AH35" s="20"/>
      <c r="AI35" s="84" t="s">
        <v>40</v>
      </c>
      <c r="AJ35" s="85"/>
    </row>
    <row r="36" s="1" customFormat="1" ht="18" customHeight="1" spans="1:36">
      <c r="A36" s="67"/>
      <c r="B36" s="67"/>
      <c r="C36" s="69"/>
      <c r="D36" s="69"/>
      <c r="E36" s="69"/>
      <c r="F36" s="67" t="s">
        <v>93</v>
      </c>
      <c r="G36" s="67" t="s">
        <v>100</v>
      </c>
      <c r="H36" s="67"/>
      <c r="I36" s="20"/>
      <c r="J36" s="25"/>
      <c r="K36" s="71"/>
      <c r="L36" s="72"/>
      <c r="M36" s="71"/>
      <c r="N36" s="82"/>
      <c r="O36" s="71"/>
      <c r="P36" s="91"/>
      <c r="Q36" s="71"/>
      <c r="R36" s="75"/>
      <c r="S36" s="71"/>
      <c r="T36" s="91"/>
      <c r="U36" s="71"/>
      <c r="V36" s="91"/>
      <c r="W36" s="71"/>
      <c r="X36" s="72"/>
      <c r="Y36" s="71"/>
      <c r="Z36" s="72"/>
      <c r="AA36" s="27"/>
      <c r="AB36" s="72"/>
      <c r="AC36" s="71"/>
      <c r="AD36" s="75"/>
      <c r="AE36" s="27"/>
      <c r="AF36" s="75">
        <f>L36+P36+V36+X36+Z36+AB36+AD36</f>
        <v>0</v>
      </c>
      <c r="AG36" s="189"/>
      <c r="AH36" s="20"/>
      <c r="AI36" s="84" t="s">
        <v>40</v>
      </c>
      <c r="AJ36" s="85"/>
    </row>
    <row r="37" s="1" customFormat="1" ht="18" customHeight="1" spans="1:36">
      <c r="A37" s="67"/>
      <c r="B37" s="67"/>
      <c r="C37" s="67" t="s">
        <v>104</v>
      </c>
      <c r="D37" s="69"/>
      <c r="E37" s="69"/>
      <c r="F37" s="67" t="s">
        <v>105</v>
      </c>
      <c r="G37" s="67" t="s">
        <v>106</v>
      </c>
      <c r="H37" s="67"/>
      <c r="I37" s="20"/>
      <c r="J37" s="25"/>
      <c r="K37" s="71"/>
      <c r="L37" s="72"/>
      <c r="M37" s="71"/>
      <c r="N37" s="82"/>
      <c r="O37" s="71"/>
      <c r="P37" s="91"/>
      <c r="Q37" s="71"/>
      <c r="R37" s="75"/>
      <c r="S37" s="71"/>
      <c r="T37" s="91"/>
      <c r="U37" s="71"/>
      <c r="V37" s="91"/>
      <c r="W37" s="71"/>
      <c r="X37" s="72"/>
      <c r="Y37" s="71"/>
      <c r="Z37" s="72"/>
      <c r="AA37" s="27"/>
      <c r="AB37" s="72"/>
      <c r="AC37" s="71"/>
      <c r="AD37" s="75"/>
      <c r="AE37" s="27"/>
      <c r="AF37" s="75"/>
      <c r="AG37" s="189"/>
      <c r="AH37" s="20"/>
      <c r="AI37" s="84" t="s">
        <v>40</v>
      </c>
      <c r="AJ37" s="85"/>
    </row>
    <row r="38" s="1" customFormat="1" ht="18" customHeight="1" spans="1:36">
      <c r="A38" s="67"/>
      <c r="B38" s="67"/>
      <c r="C38" s="67" t="s">
        <v>107</v>
      </c>
      <c r="D38" s="69"/>
      <c r="E38" s="69"/>
      <c r="F38" s="67" t="s">
        <v>108</v>
      </c>
      <c r="G38" s="67" t="s">
        <v>109</v>
      </c>
      <c r="H38" s="67"/>
      <c r="I38" s="20"/>
      <c r="J38" s="25"/>
      <c r="K38" s="71"/>
      <c r="L38" s="72"/>
      <c r="M38" s="71"/>
      <c r="N38" s="82"/>
      <c r="O38" s="71"/>
      <c r="P38" s="91"/>
      <c r="Q38" s="71"/>
      <c r="R38" s="75"/>
      <c r="S38" s="71"/>
      <c r="T38" s="91"/>
      <c r="U38" s="71"/>
      <c r="V38" s="91"/>
      <c r="W38" s="71"/>
      <c r="X38" s="72"/>
      <c r="Y38" s="71"/>
      <c r="Z38" s="72"/>
      <c r="AA38" s="27"/>
      <c r="AB38" s="72"/>
      <c r="AC38" s="71"/>
      <c r="AD38" s="75"/>
      <c r="AE38" s="27"/>
      <c r="AF38" s="75"/>
      <c r="AG38" s="189"/>
      <c r="AH38" s="20"/>
      <c r="AI38" s="84"/>
      <c r="AJ38" s="85"/>
    </row>
    <row r="39" s="1" customFormat="1" ht="18" customHeight="1" spans="1:36">
      <c r="A39" s="67"/>
      <c r="B39" s="67"/>
      <c r="C39" s="69"/>
      <c r="D39" s="69"/>
      <c r="E39" s="69"/>
      <c r="F39" s="67"/>
      <c r="G39" s="67"/>
      <c r="H39" s="67"/>
      <c r="I39" s="20"/>
      <c r="J39" s="25"/>
      <c r="K39" s="71"/>
      <c r="L39" s="72"/>
      <c r="M39" s="71"/>
      <c r="N39" s="82"/>
      <c r="O39" s="71"/>
      <c r="P39" s="91"/>
      <c r="Q39" s="71"/>
      <c r="R39" s="75"/>
      <c r="S39" s="71"/>
      <c r="T39" s="91"/>
      <c r="U39" s="71"/>
      <c r="V39" s="91"/>
      <c r="W39" s="71"/>
      <c r="X39" s="72"/>
      <c r="Y39" s="71"/>
      <c r="Z39" s="72"/>
      <c r="AA39" s="27"/>
      <c r="AB39" s="72"/>
      <c r="AC39" s="71"/>
      <c r="AD39" s="75"/>
      <c r="AE39" s="27"/>
      <c r="AF39" s="75"/>
      <c r="AG39" s="189"/>
      <c r="AH39" s="20"/>
      <c r="AI39" s="84"/>
      <c r="AJ39" s="85"/>
    </row>
    <row r="40" s="1" customFormat="1" ht="18" customHeight="1" spans="1:36">
      <c r="A40" s="67"/>
      <c r="B40" s="67"/>
      <c r="C40" s="69"/>
      <c r="D40" s="69"/>
      <c r="E40" s="69"/>
      <c r="F40" s="67"/>
      <c r="G40" s="67"/>
      <c r="H40" s="67"/>
      <c r="I40" s="20"/>
      <c r="J40" s="25"/>
      <c r="K40" s="71"/>
      <c r="L40" s="72"/>
      <c r="M40" s="71"/>
      <c r="N40" s="82"/>
      <c r="O40" s="71"/>
      <c r="P40" s="91"/>
      <c r="Q40" s="71"/>
      <c r="R40" s="75"/>
      <c r="S40" s="71"/>
      <c r="T40" s="91"/>
      <c r="U40" s="71"/>
      <c r="V40" s="91"/>
      <c r="W40" s="71"/>
      <c r="X40" s="72"/>
      <c r="Y40" s="71"/>
      <c r="Z40" s="72"/>
      <c r="AA40" s="27"/>
      <c r="AB40" s="72"/>
      <c r="AC40" s="71"/>
      <c r="AD40" s="75"/>
      <c r="AE40" s="27"/>
      <c r="AF40" s="75"/>
      <c r="AG40" s="189"/>
      <c r="AH40" s="20"/>
      <c r="AI40" s="84"/>
      <c r="AJ40" s="85"/>
    </row>
    <row r="41" s="1" customFormat="1" ht="18" customHeight="1" spans="1:36">
      <c r="A41" s="67"/>
      <c r="B41" s="67"/>
      <c r="C41" s="69"/>
      <c r="D41" s="69"/>
      <c r="E41" s="69"/>
      <c r="F41" s="67"/>
      <c r="G41" s="192" t="s">
        <v>110</v>
      </c>
      <c r="H41" s="67"/>
      <c r="I41" s="20" t="s">
        <v>111</v>
      </c>
      <c r="J41" s="25"/>
      <c r="K41" s="71"/>
      <c r="L41" s="72"/>
      <c r="M41" s="71"/>
      <c r="N41" s="82"/>
      <c r="O41" s="71"/>
      <c r="P41" s="91"/>
      <c r="Q41" s="71"/>
      <c r="R41" s="75"/>
      <c r="S41" s="71"/>
      <c r="T41" s="91"/>
      <c r="U41" s="71"/>
      <c r="V41" s="91"/>
      <c r="W41" s="71"/>
      <c r="X41" s="72"/>
      <c r="Y41" s="71"/>
      <c r="Z41" s="72"/>
      <c r="AA41" s="27">
        <v>46058</v>
      </c>
      <c r="AB41" s="72">
        <v>40000</v>
      </c>
      <c r="AC41" s="71"/>
      <c r="AD41" s="75"/>
      <c r="AE41" s="27"/>
      <c r="AF41" s="75">
        <f t="shared" ref="AF41:AF50" si="8">L41+P41+V41+X41+Z41+AB41+AD41</f>
        <v>40000</v>
      </c>
      <c r="AG41" s="189"/>
      <c r="AH41" s="20"/>
      <c r="AI41" s="84"/>
      <c r="AJ41" s="85"/>
    </row>
    <row r="42" s="1" customFormat="1" ht="18" customHeight="1" spans="1:36">
      <c r="A42" s="67"/>
      <c r="B42" s="67"/>
      <c r="C42" s="69"/>
      <c r="D42" s="69"/>
      <c r="E42" s="69"/>
      <c r="F42" s="67"/>
      <c r="G42" s="192" t="s">
        <v>112</v>
      </c>
      <c r="H42" s="67"/>
      <c r="I42" s="20" t="s">
        <v>111</v>
      </c>
      <c r="J42" s="25"/>
      <c r="K42" s="71"/>
      <c r="L42" s="72"/>
      <c r="M42" s="71"/>
      <c r="N42" s="82"/>
      <c r="O42" s="71"/>
      <c r="P42" s="91"/>
      <c r="Q42" s="71"/>
      <c r="R42" s="75"/>
      <c r="S42" s="71"/>
      <c r="T42" s="91"/>
      <c r="U42" s="71"/>
      <c r="V42" s="91"/>
      <c r="W42" s="71"/>
      <c r="X42" s="72"/>
      <c r="Y42" s="71"/>
      <c r="Z42" s="72"/>
      <c r="AA42" s="27">
        <v>46058</v>
      </c>
      <c r="AB42" s="72">
        <v>40000</v>
      </c>
      <c r="AC42" s="71"/>
      <c r="AD42" s="75"/>
      <c r="AE42" s="27"/>
      <c r="AF42" s="75">
        <f t="shared" si="8"/>
        <v>40000</v>
      </c>
      <c r="AG42" s="189"/>
      <c r="AH42" s="20"/>
      <c r="AI42" s="84"/>
      <c r="AJ42" s="85"/>
    </row>
    <row r="43" s="1" customFormat="1" ht="18" customHeight="1" spans="1:36">
      <c r="A43" s="67"/>
      <c r="B43" s="67"/>
      <c r="C43" s="69"/>
      <c r="D43" s="69"/>
      <c r="E43" s="69"/>
      <c r="F43" s="67"/>
      <c r="G43" s="192" t="s">
        <v>110</v>
      </c>
      <c r="H43" s="67"/>
      <c r="I43" s="20" t="s">
        <v>111</v>
      </c>
      <c r="J43" s="25"/>
      <c r="K43" s="71"/>
      <c r="L43" s="72"/>
      <c r="M43" s="71"/>
      <c r="N43" s="82"/>
      <c r="O43" s="71"/>
      <c r="P43" s="91"/>
      <c r="Q43" s="71"/>
      <c r="R43" s="75"/>
      <c r="S43" s="71"/>
      <c r="T43" s="91"/>
      <c r="U43" s="71"/>
      <c r="V43" s="91"/>
      <c r="W43" s="71"/>
      <c r="X43" s="72"/>
      <c r="Y43" s="71"/>
      <c r="Z43" s="72"/>
      <c r="AA43" s="27">
        <v>46058</v>
      </c>
      <c r="AB43" s="72">
        <v>40000</v>
      </c>
      <c r="AC43" s="71"/>
      <c r="AD43" s="75"/>
      <c r="AE43" s="27"/>
      <c r="AF43" s="75">
        <f t="shared" si="8"/>
        <v>40000</v>
      </c>
      <c r="AG43" s="189"/>
      <c r="AH43" s="20"/>
      <c r="AI43" s="84"/>
      <c r="AJ43" s="85"/>
    </row>
    <row r="44" s="1" customFormat="1" ht="18" customHeight="1" spans="1:36">
      <c r="A44" s="67"/>
      <c r="B44" s="67"/>
      <c r="C44" s="69"/>
      <c r="D44" s="69"/>
      <c r="E44" s="69"/>
      <c r="F44" s="67"/>
      <c r="G44" s="192" t="s">
        <v>113</v>
      </c>
      <c r="H44" s="67"/>
      <c r="I44" s="20" t="s">
        <v>111</v>
      </c>
      <c r="J44" s="25"/>
      <c r="K44" s="71"/>
      <c r="L44" s="72"/>
      <c r="M44" s="71"/>
      <c r="N44" s="82"/>
      <c r="O44" s="71"/>
      <c r="P44" s="91"/>
      <c r="Q44" s="71"/>
      <c r="R44" s="75"/>
      <c r="S44" s="71"/>
      <c r="T44" s="91"/>
      <c r="U44" s="71"/>
      <c r="V44" s="91"/>
      <c r="W44" s="71"/>
      <c r="X44" s="72"/>
      <c r="Y44" s="71"/>
      <c r="Z44" s="72"/>
      <c r="AA44" s="27">
        <v>46058</v>
      </c>
      <c r="AB44" s="72">
        <v>40000</v>
      </c>
      <c r="AC44" s="71"/>
      <c r="AD44" s="75"/>
      <c r="AE44" s="26"/>
      <c r="AF44" s="75">
        <f t="shared" si="8"/>
        <v>40000</v>
      </c>
      <c r="AG44" s="189"/>
      <c r="AH44" s="20"/>
      <c r="AI44" s="84"/>
      <c r="AJ44" s="85"/>
    </row>
    <row r="45" s="1" customFormat="1" ht="18" customHeight="1" spans="1:36">
      <c r="A45" s="67"/>
      <c r="B45" s="67"/>
      <c r="C45" s="69"/>
      <c r="D45" s="69"/>
      <c r="E45" s="69"/>
      <c r="F45" s="67"/>
      <c r="G45" s="192" t="s">
        <v>114</v>
      </c>
      <c r="H45" s="67"/>
      <c r="I45" s="20" t="s">
        <v>111</v>
      </c>
      <c r="J45" s="25"/>
      <c r="K45" s="71"/>
      <c r="L45" s="72"/>
      <c r="M45" s="71"/>
      <c r="N45" s="82"/>
      <c r="O45" s="71"/>
      <c r="P45" s="91"/>
      <c r="Q45" s="71"/>
      <c r="R45" s="75"/>
      <c r="S45" s="71"/>
      <c r="T45" s="91"/>
      <c r="U45" s="71"/>
      <c r="V45" s="91"/>
      <c r="W45" s="71"/>
      <c r="X45" s="72"/>
      <c r="Y45" s="71"/>
      <c r="Z45" s="72"/>
      <c r="AA45" s="27">
        <v>46062</v>
      </c>
      <c r="AB45" s="72">
        <v>130815</v>
      </c>
      <c r="AC45" s="71"/>
      <c r="AD45" s="75"/>
      <c r="AE45" s="26"/>
      <c r="AF45" s="75">
        <f t="shared" si="8"/>
        <v>130815</v>
      </c>
      <c r="AG45" s="189"/>
      <c r="AH45" s="20"/>
      <c r="AI45" s="84"/>
      <c r="AJ45" s="85"/>
    </row>
    <row r="46" s="1" customFormat="1" ht="18" customHeight="1" spans="1:36">
      <c r="A46" s="67"/>
      <c r="B46" s="67"/>
      <c r="C46" s="69"/>
      <c r="D46" s="69"/>
      <c r="E46" s="69"/>
      <c r="F46" s="67"/>
      <c r="G46" s="192" t="s">
        <v>115</v>
      </c>
      <c r="H46" s="67"/>
      <c r="I46" s="20" t="s">
        <v>111</v>
      </c>
      <c r="J46" s="25"/>
      <c r="K46" s="71"/>
      <c r="L46" s="72"/>
      <c r="M46" s="71"/>
      <c r="N46" s="82"/>
      <c r="O46" s="71"/>
      <c r="P46" s="91"/>
      <c r="Q46" s="71"/>
      <c r="R46" s="75"/>
      <c r="S46" s="71"/>
      <c r="T46" s="91"/>
      <c r="U46" s="71"/>
      <c r="V46" s="91"/>
      <c r="W46" s="71"/>
      <c r="X46" s="72"/>
      <c r="Y46" s="71"/>
      <c r="Z46" s="72"/>
      <c r="AA46" s="27">
        <v>46062</v>
      </c>
      <c r="AB46" s="72">
        <v>130302</v>
      </c>
      <c r="AC46" s="71"/>
      <c r="AD46" s="75"/>
      <c r="AE46" s="26"/>
      <c r="AF46" s="75">
        <f t="shared" si="8"/>
        <v>130302</v>
      </c>
      <c r="AG46" s="189"/>
      <c r="AH46" s="20"/>
      <c r="AI46" s="84"/>
      <c r="AJ46" s="85"/>
    </row>
    <row r="47" s="1" customFormat="1" ht="18" customHeight="1" spans="1:36">
      <c r="A47" s="67"/>
      <c r="B47" s="67"/>
      <c r="C47" s="69"/>
      <c r="D47" s="69"/>
      <c r="E47" s="69"/>
      <c r="F47" s="67"/>
      <c r="G47" s="192" t="s">
        <v>116</v>
      </c>
      <c r="H47" s="67"/>
      <c r="I47" s="20" t="s">
        <v>111</v>
      </c>
      <c r="J47" s="20"/>
      <c r="K47" s="20"/>
      <c r="L47" s="20"/>
      <c r="M47" s="20"/>
      <c r="N47" s="172"/>
      <c r="O47" s="20"/>
      <c r="P47" s="20"/>
      <c r="Q47" s="173"/>
      <c r="R47" s="174"/>
      <c r="S47" s="173"/>
      <c r="T47" s="20"/>
      <c r="U47" s="20"/>
      <c r="V47" s="20"/>
      <c r="W47" s="20"/>
      <c r="X47" s="20"/>
      <c r="Y47" s="20"/>
      <c r="Z47" s="20"/>
      <c r="AA47" s="27">
        <v>46062</v>
      </c>
      <c r="AB47" s="77">
        <v>274500</v>
      </c>
      <c r="AC47" s="71"/>
      <c r="AD47" s="75"/>
      <c r="AE47" s="26"/>
      <c r="AF47" s="75">
        <f t="shared" si="8"/>
        <v>274500</v>
      </c>
      <c r="AG47" s="189"/>
      <c r="AH47" s="20"/>
      <c r="AI47" s="84"/>
      <c r="AJ47" s="85"/>
    </row>
    <row r="48" s="1" customFormat="1" ht="18" customHeight="1" spans="1:36">
      <c r="A48" s="67"/>
      <c r="B48" s="67"/>
      <c r="C48" s="69"/>
      <c r="D48" s="69"/>
      <c r="E48" s="69"/>
      <c r="F48" s="67"/>
      <c r="G48" s="67"/>
      <c r="H48" s="67"/>
      <c r="I48" s="20" t="s">
        <v>111</v>
      </c>
      <c r="J48" s="25"/>
      <c r="K48" s="71"/>
      <c r="L48" s="72"/>
      <c r="M48" s="71"/>
      <c r="N48" s="82"/>
      <c r="O48" s="71"/>
      <c r="P48" s="91"/>
      <c r="Q48" s="71"/>
      <c r="R48" s="75"/>
      <c r="S48" s="71"/>
      <c r="T48" s="91"/>
      <c r="U48" s="71"/>
      <c r="V48" s="91"/>
      <c r="W48" s="71"/>
      <c r="X48" s="72"/>
      <c r="Y48" s="71"/>
      <c r="Z48" s="72"/>
      <c r="AA48" s="27">
        <v>46063</v>
      </c>
      <c r="AB48" s="72">
        <v>750000</v>
      </c>
      <c r="AC48" s="71"/>
      <c r="AD48" s="75"/>
      <c r="AE48" s="26"/>
      <c r="AF48" s="75">
        <f t="shared" si="8"/>
        <v>750000</v>
      </c>
      <c r="AG48" s="189"/>
      <c r="AH48" s="20"/>
      <c r="AI48" s="84"/>
      <c r="AJ48" s="85"/>
    </row>
    <row r="49" s="1" customFormat="1" ht="18" customHeight="1" spans="1:36">
      <c r="A49" s="67"/>
      <c r="B49" s="67"/>
      <c r="C49" s="69"/>
      <c r="D49" s="69"/>
      <c r="E49" s="69"/>
      <c r="F49" s="67"/>
      <c r="G49" s="192" t="s">
        <v>117</v>
      </c>
      <c r="H49" s="67"/>
      <c r="I49" s="20" t="s">
        <v>111</v>
      </c>
      <c r="J49" s="25"/>
      <c r="K49" s="71"/>
      <c r="L49" s="72"/>
      <c r="M49" s="71"/>
      <c r="N49" s="82"/>
      <c r="O49" s="71"/>
      <c r="P49" s="91"/>
      <c r="Q49" s="71"/>
      <c r="R49" s="75"/>
      <c r="S49" s="71"/>
      <c r="T49" s="91"/>
      <c r="U49" s="71"/>
      <c r="V49" s="91"/>
      <c r="W49" s="71"/>
      <c r="X49" s="72"/>
      <c r="Y49" s="71"/>
      <c r="Z49" s="72"/>
      <c r="AA49" s="27">
        <v>46063</v>
      </c>
      <c r="AB49" s="77">
        <v>27186</v>
      </c>
      <c r="AC49" s="71"/>
      <c r="AD49" s="75"/>
      <c r="AE49" s="26"/>
      <c r="AF49" s="75">
        <f t="shared" si="8"/>
        <v>27186</v>
      </c>
      <c r="AG49" s="189"/>
      <c r="AH49" s="20"/>
      <c r="AI49" s="84"/>
      <c r="AJ49" s="85"/>
    </row>
    <row r="50" s="1" customFormat="1" ht="18" customHeight="1" spans="1:36">
      <c r="A50" s="67"/>
      <c r="B50" s="67"/>
      <c r="C50" s="69"/>
      <c r="D50" s="69"/>
      <c r="E50" s="69"/>
      <c r="F50" s="67"/>
      <c r="G50" s="192" t="s">
        <v>118</v>
      </c>
      <c r="H50" s="67"/>
      <c r="I50" s="20" t="s">
        <v>111</v>
      </c>
      <c r="J50" s="25"/>
      <c r="K50" s="71"/>
      <c r="L50" s="72"/>
      <c r="M50" s="71"/>
      <c r="N50" s="82"/>
      <c r="O50" s="71"/>
      <c r="P50" s="91"/>
      <c r="Q50" s="71"/>
      <c r="R50" s="75"/>
      <c r="S50" s="71"/>
      <c r="T50" s="91"/>
      <c r="U50" s="71"/>
      <c r="V50" s="91"/>
      <c r="W50" s="71"/>
      <c r="X50" s="72"/>
      <c r="Y50" s="71"/>
      <c r="Z50" s="72"/>
      <c r="AA50" s="27">
        <v>46063</v>
      </c>
      <c r="AB50" s="77">
        <v>33619</v>
      </c>
      <c r="AC50" s="71"/>
      <c r="AD50" s="75"/>
      <c r="AE50" s="26"/>
      <c r="AF50" s="75">
        <f t="shared" si="8"/>
        <v>33619</v>
      </c>
      <c r="AG50" s="189"/>
      <c r="AH50" s="20"/>
      <c r="AI50" s="84"/>
      <c r="AJ50" s="85"/>
    </row>
    <row r="51" s="1" customFormat="1" ht="18" customHeight="1" spans="1:36">
      <c r="A51" s="67"/>
      <c r="B51" s="67"/>
      <c r="C51" s="69"/>
      <c r="D51" s="69"/>
      <c r="E51" s="69"/>
      <c r="F51" s="67"/>
      <c r="G51" s="192" t="s">
        <v>119</v>
      </c>
      <c r="H51" s="67"/>
      <c r="I51" s="20" t="s">
        <v>111</v>
      </c>
      <c r="J51" s="25"/>
      <c r="K51" s="71"/>
      <c r="L51" s="72"/>
      <c r="M51" s="71"/>
      <c r="N51" s="82"/>
      <c r="O51" s="71"/>
      <c r="P51" s="91"/>
      <c r="Q51" s="71"/>
      <c r="R51" s="75"/>
      <c r="S51" s="71"/>
      <c r="T51" s="91"/>
      <c r="U51" s="71"/>
      <c r="V51" s="91"/>
      <c r="W51" s="71"/>
      <c r="X51" s="72"/>
      <c r="Y51" s="71"/>
      <c r="Z51" s="72"/>
      <c r="AA51" s="27">
        <v>46063</v>
      </c>
      <c r="AB51" s="77">
        <v>64493</v>
      </c>
      <c r="AC51" s="71"/>
      <c r="AD51" s="75"/>
      <c r="AE51" s="26"/>
      <c r="AF51" s="75">
        <f t="shared" ref="AF51:AF61" si="9">L51+P51+V51+X51+Z51+AB51+AD51</f>
        <v>64493</v>
      </c>
      <c r="AG51" s="189"/>
      <c r="AH51" s="20"/>
      <c r="AI51" s="84"/>
      <c r="AJ51" s="85"/>
    </row>
    <row r="52" s="1" customFormat="1" ht="18" customHeight="1" spans="1:36">
      <c r="A52" s="67"/>
      <c r="B52" s="67"/>
      <c r="C52" s="69"/>
      <c r="D52" s="69"/>
      <c r="E52" s="69"/>
      <c r="F52" s="67"/>
      <c r="G52" s="192" t="s">
        <v>120</v>
      </c>
      <c r="H52" s="67"/>
      <c r="I52" s="20" t="s">
        <v>111</v>
      </c>
      <c r="J52" s="25"/>
      <c r="K52" s="71"/>
      <c r="L52" s="72"/>
      <c r="M52" s="71"/>
      <c r="N52" s="82"/>
      <c r="O52" s="71"/>
      <c r="P52" s="91"/>
      <c r="Q52" s="71"/>
      <c r="R52" s="75"/>
      <c r="S52" s="71"/>
      <c r="T52" s="91"/>
      <c r="U52" s="71"/>
      <c r="V52" s="91"/>
      <c r="W52" s="71"/>
      <c r="X52" s="72"/>
      <c r="Y52" s="71"/>
      <c r="Z52" s="72"/>
      <c r="AA52" s="27">
        <v>46063</v>
      </c>
      <c r="AB52" s="77">
        <v>25720</v>
      </c>
      <c r="AC52" s="71"/>
      <c r="AD52" s="75"/>
      <c r="AE52" s="26"/>
      <c r="AF52" s="75">
        <f t="shared" si="9"/>
        <v>25720</v>
      </c>
      <c r="AG52" s="189"/>
      <c r="AH52" s="20"/>
      <c r="AI52" s="84"/>
      <c r="AJ52" s="85"/>
    </row>
    <row r="53" s="1" customFormat="1" ht="18" customHeight="1" spans="1:36">
      <c r="A53" s="67"/>
      <c r="B53" s="67"/>
      <c r="C53" s="69"/>
      <c r="D53" s="69"/>
      <c r="E53" s="69"/>
      <c r="F53" s="67"/>
      <c r="G53" s="192" t="s">
        <v>121</v>
      </c>
      <c r="H53" s="67"/>
      <c r="I53" s="20" t="s">
        <v>111</v>
      </c>
      <c r="J53" s="25"/>
      <c r="K53" s="71"/>
      <c r="L53" s="72"/>
      <c r="M53" s="71"/>
      <c r="N53" s="82"/>
      <c r="O53" s="71"/>
      <c r="P53" s="91"/>
      <c r="Q53" s="71"/>
      <c r="R53" s="75"/>
      <c r="S53" s="71"/>
      <c r="T53" s="91"/>
      <c r="U53" s="71"/>
      <c r="V53" s="91"/>
      <c r="W53" s="71"/>
      <c r="X53" s="72"/>
      <c r="Y53" s="71"/>
      <c r="Z53" s="72"/>
      <c r="AA53" s="27">
        <v>46070</v>
      </c>
      <c r="AB53" s="77">
        <v>80000</v>
      </c>
      <c r="AC53" s="71"/>
      <c r="AD53" s="75"/>
      <c r="AE53" s="26"/>
      <c r="AF53" s="75">
        <f t="shared" si="9"/>
        <v>80000</v>
      </c>
      <c r="AG53" s="189"/>
      <c r="AH53" s="20"/>
      <c r="AI53" s="84"/>
      <c r="AJ53" s="85"/>
    </row>
    <row r="54" s="1" customFormat="1" ht="18" customHeight="1" spans="1:36">
      <c r="A54" s="67"/>
      <c r="B54" s="67"/>
      <c r="C54" s="69"/>
      <c r="D54" s="69"/>
      <c r="E54" s="69"/>
      <c r="F54" s="67"/>
      <c r="G54" s="192" t="s">
        <v>122</v>
      </c>
      <c r="H54" s="67"/>
      <c r="I54" s="20" t="s">
        <v>111</v>
      </c>
      <c r="J54" s="25"/>
      <c r="K54" s="71"/>
      <c r="L54" s="72"/>
      <c r="M54" s="71"/>
      <c r="N54" s="82"/>
      <c r="O54" s="71"/>
      <c r="P54" s="91"/>
      <c r="Q54" s="71"/>
      <c r="R54" s="75"/>
      <c r="S54" s="71"/>
      <c r="T54" s="91"/>
      <c r="U54" s="71"/>
      <c r="V54" s="91"/>
      <c r="W54" s="71"/>
      <c r="X54" s="72"/>
      <c r="Y54" s="71"/>
      <c r="Z54" s="72"/>
      <c r="AA54" s="27">
        <v>46072</v>
      </c>
      <c r="AB54" s="77">
        <v>167314</v>
      </c>
      <c r="AC54" s="71"/>
      <c r="AD54" s="75"/>
      <c r="AE54" s="26"/>
      <c r="AF54" s="75">
        <f t="shared" si="9"/>
        <v>167314</v>
      </c>
      <c r="AG54" s="189"/>
      <c r="AH54" s="20"/>
      <c r="AI54" s="84"/>
      <c r="AJ54" s="85"/>
    </row>
    <row r="55" s="1" customFormat="1" ht="18" customHeight="1" spans="1:36">
      <c r="A55" s="67"/>
      <c r="B55" s="67"/>
      <c r="C55" s="69"/>
      <c r="D55" s="69"/>
      <c r="E55" s="69"/>
      <c r="F55" s="67"/>
      <c r="G55" s="67" t="s">
        <v>123</v>
      </c>
      <c r="H55" s="67"/>
      <c r="I55" s="20"/>
      <c r="J55" s="25"/>
      <c r="K55" s="71"/>
      <c r="L55" s="72"/>
      <c r="M55" s="71"/>
      <c r="N55" s="82"/>
      <c r="O55" s="71"/>
      <c r="P55" s="91"/>
      <c r="Q55" s="71"/>
      <c r="R55" s="75"/>
      <c r="S55" s="71"/>
      <c r="T55" s="91"/>
      <c r="U55" s="71"/>
      <c r="V55" s="91"/>
      <c r="W55" s="71"/>
      <c r="X55" s="72"/>
      <c r="Y55" s="71"/>
      <c r="Z55" s="72"/>
      <c r="AA55" s="27">
        <v>46084</v>
      </c>
      <c r="AB55" s="77">
        <v>700000</v>
      </c>
      <c r="AC55" s="71"/>
      <c r="AD55" s="75"/>
      <c r="AE55" s="26"/>
      <c r="AF55" s="75">
        <f t="shared" si="9"/>
        <v>700000</v>
      </c>
      <c r="AG55" s="189"/>
      <c r="AH55" s="20"/>
      <c r="AI55" s="84"/>
      <c r="AJ55" s="85"/>
    </row>
    <row r="56" s="1" customFormat="1" ht="18" customHeight="1" spans="1:36">
      <c r="A56" s="67"/>
      <c r="B56" s="67" t="s">
        <v>79</v>
      </c>
      <c r="C56" s="69"/>
      <c r="D56" s="69"/>
      <c r="E56" s="69"/>
      <c r="F56" s="67"/>
      <c r="G56" s="192" t="s">
        <v>124</v>
      </c>
      <c r="H56" s="67"/>
      <c r="I56" s="20"/>
      <c r="J56" s="25"/>
      <c r="K56" s="71"/>
      <c r="L56" s="72"/>
      <c r="M56" s="71"/>
      <c r="N56" s="82"/>
      <c r="O56" s="71"/>
      <c r="P56" s="91"/>
      <c r="Q56" s="71"/>
      <c r="R56" s="75"/>
      <c r="S56" s="71"/>
      <c r="T56" s="91"/>
      <c r="U56" s="71"/>
      <c r="V56" s="91"/>
      <c r="W56" s="71"/>
      <c r="X56" s="72"/>
      <c r="Y56" s="71"/>
      <c r="Z56" s="72"/>
      <c r="AA56" s="27">
        <v>46088</v>
      </c>
      <c r="AB56" s="77">
        <v>40000</v>
      </c>
      <c r="AC56" s="71"/>
      <c r="AD56" s="75"/>
      <c r="AE56" s="26"/>
      <c r="AF56" s="75">
        <f t="shared" si="9"/>
        <v>40000</v>
      </c>
      <c r="AG56" s="189"/>
      <c r="AH56" s="20"/>
      <c r="AI56" s="84"/>
      <c r="AJ56" s="85"/>
    </row>
    <row r="57" s="1" customFormat="1" ht="18" customHeight="1" spans="1:36">
      <c r="A57" s="67"/>
      <c r="B57" s="67"/>
      <c r="C57" s="69"/>
      <c r="D57" s="69"/>
      <c r="E57" s="69"/>
      <c r="F57" s="67"/>
      <c r="G57" s="192" t="s">
        <v>125</v>
      </c>
      <c r="H57" s="67"/>
      <c r="I57" s="20"/>
      <c r="J57" s="25"/>
      <c r="K57" s="71"/>
      <c r="L57" s="72"/>
      <c r="M57" s="71"/>
      <c r="N57" s="82"/>
      <c r="O57" s="71"/>
      <c r="P57" s="91"/>
      <c r="Q57" s="71"/>
      <c r="R57" s="75"/>
      <c r="S57" s="71"/>
      <c r="T57" s="91"/>
      <c r="U57" s="71"/>
      <c r="V57" s="91"/>
      <c r="W57" s="71"/>
      <c r="X57" s="72"/>
      <c r="Y57" s="71"/>
      <c r="Z57" s="72"/>
      <c r="AA57" s="27">
        <v>46089</v>
      </c>
      <c r="AB57" s="72">
        <v>5126</v>
      </c>
      <c r="AC57" s="71"/>
      <c r="AD57" s="75"/>
      <c r="AE57" s="26"/>
      <c r="AF57" s="75">
        <f t="shared" si="9"/>
        <v>5126</v>
      </c>
      <c r="AG57" s="189"/>
      <c r="AH57" s="20"/>
      <c r="AI57" s="84"/>
      <c r="AJ57" s="85"/>
    </row>
    <row r="58" s="1" customFormat="1" ht="18" customHeight="1" spans="1:36">
      <c r="A58" s="67"/>
      <c r="B58" s="67"/>
      <c r="C58" s="69"/>
      <c r="D58" s="69"/>
      <c r="E58" s="69"/>
      <c r="F58" s="67"/>
      <c r="G58" s="192" t="s">
        <v>126</v>
      </c>
      <c r="H58" s="67"/>
      <c r="I58" s="20"/>
      <c r="J58" s="25"/>
      <c r="K58" s="71"/>
      <c r="L58" s="72"/>
      <c r="M58" s="71"/>
      <c r="N58" s="82"/>
      <c r="O58" s="71"/>
      <c r="P58" s="91"/>
      <c r="Q58" s="71"/>
      <c r="R58" s="75"/>
      <c r="S58" s="71"/>
      <c r="T58" s="91"/>
      <c r="U58" s="71"/>
      <c r="V58" s="91"/>
      <c r="W58" s="71"/>
      <c r="X58" s="72"/>
      <c r="Y58" s="71"/>
      <c r="Z58" s="72"/>
      <c r="AA58" s="27">
        <v>46089</v>
      </c>
      <c r="AB58" s="77">
        <v>46134</v>
      </c>
      <c r="AC58" s="71"/>
      <c r="AD58" s="75"/>
      <c r="AE58" s="26"/>
      <c r="AF58" s="75">
        <f t="shared" si="9"/>
        <v>46134</v>
      </c>
      <c r="AG58" s="189"/>
      <c r="AH58" s="20"/>
      <c r="AI58" s="84"/>
      <c r="AJ58" s="85"/>
    </row>
    <row r="59" s="1" customFormat="1" ht="18" customHeight="1" spans="1:36">
      <c r="A59" s="67"/>
      <c r="B59" s="67"/>
      <c r="C59" s="69"/>
      <c r="D59" s="69"/>
      <c r="E59" s="69"/>
      <c r="F59" s="67"/>
      <c r="G59" s="67" t="s">
        <v>127</v>
      </c>
      <c r="H59" s="67"/>
      <c r="I59" s="20"/>
      <c r="J59" s="25"/>
      <c r="K59" s="71"/>
      <c r="L59" s="72"/>
      <c r="M59" s="71"/>
      <c r="N59" s="82"/>
      <c r="O59" s="71"/>
      <c r="P59" s="91"/>
      <c r="Q59" s="71"/>
      <c r="R59" s="75"/>
      <c r="S59" s="71"/>
      <c r="T59" s="91"/>
      <c r="U59" s="71"/>
      <c r="V59" s="91"/>
      <c r="W59" s="71"/>
      <c r="X59" s="72"/>
      <c r="Y59" s="71"/>
      <c r="Z59" s="72"/>
      <c r="AA59" s="27">
        <v>46094</v>
      </c>
      <c r="AB59" s="77">
        <v>700000</v>
      </c>
      <c r="AC59" s="71"/>
      <c r="AD59" s="75"/>
      <c r="AE59" s="26"/>
      <c r="AF59" s="75">
        <f t="shared" si="9"/>
        <v>700000</v>
      </c>
      <c r="AG59" s="189"/>
      <c r="AH59" s="20"/>
      <c r="AI59" s="84"/>
      <c r="AJ59" s="85"/>
    </row>
    <row r="60" s="1" customFormat="1" ht="18" customHeight="1" spans="1:36">
      <c r="A60" s="67"/>
      <c r="B60" s="67"/>
      <c r="C60" s="69"/>
      <c r="D60" s="69"/>
      <c r="E60" s="69"/>
      <c r="F60" s="67"/>
      <c r="G60" s="192" t="s">
        <v>128</v>
      </c>
      <c r="H60" s="67"/>
      <c r="I60" s="20" t="s">
        <v>129</v>
      </c>
      <c r="J60" s="25"/>
      <c r="K60" s="71"/>
      <c r="L60" s="72"/>
      <c r="M60" s="71"/>
      <c r="N60" s="82"/>
      <c r="O60" s="71"/>
      <c r="P60" s="91"/>
      <c r="Q60" s="71"/>
      <c r="R60" s="75"/>
      <c r="S60" s="71"/>
      <c r="T60" s="91"/>
      <c r="U60" s="71"/>
      <c r="V60" s="91"/>
      <c r="W60" s="71"/>
      <c r="X60" s="72"/>
      <c r="Y60" s="71"/>
      <c r="Z60" s="72"/>
      <c r="AA60" s="27">
        <v>46112</v>
      </c>
      <c r="AB60" s="72">
        <v>25900</v>
      </c>
      <c r="AC60" s="71"/>
      <c r="AD60" s="75"/>
      <c r="AE60" s="26"/>
      <c r="AF60" s="75">
        <f t="shared" si="9"/>
        <v>25900</v>
      </c>
      <c r="AG60" s="189"/>
      <c r="AH60" s="20"/>
      <c r="AI60" s="84"/>
      <c r="AJ60" s="85"/>
    </row>
    <row r="61" s="1" customFormat="1" ht="18" customHeight="1" spans="1:36">
      <c r="A61" s="67"/>
      <c r="B61" s="67"/>
      <c r="C61" s="69"/>
      <c r="D61" s="69"/>
      <c r="E61" s="69"/>
      <c r="F61" s="67"/>
      <c r="G61" s="67"/>
      <c r="H61" s="67"/>
      <c r="I61" s="20"/>
      <c r="J61" s="25"/>
      <c r="K61" s="71"/>
      <c r="L61" s="72"/>
      <c r="M61" s="71"/>
      <c r="N61" s="82"/>
      <c r="O61" s="71"/>
      <c r="P61" s="91"/>
      <c r="Q61" s="71"/>
      <c r="R61" s="75"/>
      <c r="S61" s="71"/>
      <c r="T61" s="91"/>
      <c r="U61" s="71"/>
      <c r="V61" s="91"/>
      <c r="W61" s="71"/>
      <c r="X61" s="72"/>
      <c r="Y61" s="71"/>
      <c r="Z61" s="72"/>
      <c r="AA61" s="27"/>
      <c r="AB61" s="72"/>
      <c r="AC61" s="71"/>
      <c r="AD61" s="75"/>
      <c r="AE61" s="26"/>
      <c r="AF61" s="75">
        <f t="shared" si="9"/>
        <v>0</v>
      </c>
      <c r="AG61" s="189"/>
      <c r="AH61" s="20"/>
      <c r="AI61" s="84"/>
      <c r="AJ61" s="85"/>
    </row>
    <row r="62" s="1" customFormat="1" ht="18" customHeight="1" spans="1:36">
      <c r="A62" s="67"/>
      <c r="B62" s="67"/>
      <c r="C62" s="69"/>
      <c r="D62" s="69"/>
      <c r="E62" s="69"/>
      <c r="F62" s="67"/>
      <c r="G62" s="67"/>
      <c r="H62" s="67"/>
      <c r="I62" s="20"/>
      <c r="J62" s="25"/>
      <c r="K62" s="71"/>
      <c r="L62" s="72"/>
      <c r="M62" s="71"/>
      <c r="N62" s="82"/>
      <c r="O62" s="71"/>
      <c r="P62" s="91"/>
      <c r="Q62" s="71"/>
      <c r="R62" s="75"/>
      <c r="S62" s="71"/>
      <c r="T62" s="91"/>
      <c r="U62" s="71"/>
      <c r="V62" s="91"/>
      <c r="W62" s="71"/>
      <c r="X62" s="72"/>
      <c r="Y62" s="71"/>
      <c r="Z62" s="72"/>
      <c r="AA62" s="27"/>
      <c r="AB62" s="72"/>
      <c r="AC62" s="71"/>
      <c r="AD62" s="75"/>
      <c r="AE62" s="26"/>
      <c r="AF62" s="75" t="e">
        <f>AC62*#REF!</f>
        <v>#REF!</v>
      </c>
      <c r="AG62" s="189"/>
      <c r="AH62" s="20"/>
      <c r="AI62" s="84"/>
      <c r="AJ62" s="85"/>
    </row>
    <row r="63" s="1" customFormat="1" ht="18" customHeight="1" spans="1:36">
      <c r="A63" s="67"/>
      <c r="B63" s="67"/>
      <c r="C63" s="69"/>
      <c r="D63" s="69"/>
      <c r="E63" s="69"/>
      <c r="F63" s="67"/>
      <c r="G63" s="67"/>
      <c r="H63" s="67"/>
      <c r="I63" s="20"/>
      <c r="J63" s="25"/>
      <c r="K63" s="71"/>
      <c r="L63" s="72"/>
      <c r="M63" s="71"/>
      <c r="N63" s="82"/>
      <c r="O63" s="71"/>
      <c r="P63" s="91"/>
      <c r="Q63" s="71"/>
      <c r="R63" s="75"/>
      <c r="S63" s="71"/>
      <c r="T63" s="91"/>
      <c r="U63" s="71"/>
      <c r="V63" s="91"/>
      <c r="W63" s="71"/>
      <c r="X63" s="72"/>
      <c r="Y63" s="71"/>
      <c r="Z63" s="72"/>
      <c r="AA63" s="27"/>
      <c r="AB63" s="72"/>
      <c r="AC63" s="71"/>
      <c r="AD63" s="75"/>
      <c r="AE63" s="26"/>
      <c r="AF63" s="75" t="e">
        <f>AC63*#REF!</f>
        <v>#REF!</v>
      </c>
      <c r="AG63" s="189"/>
      <c r="AH63" s="20"/>
      <c r="AI63" s="84"/>
      <c r="AJ63" s="85"/>
    </row>
    <row r="64" s="1" customFormat="1" ht="18" customHeight="1" spans="1:36">
      <c r="A64" s="67"/>
      <c r="B64" s="67"/>
      <c r="C64" s="69"/>
      <c r="D64" s="69"/>
      <c r="E64" s="69"/>
      <c r="F64" s="67"/>
      <c r="G64" s="67"/>
      <c r="H64" s="67"/>
      <c r="I64" s="20"/>
      <c r="J64" s="25"/>
      <c r="K64" s="71"/>
      <c r="L64" s="72"/>
      <c r="M64" s="71"/>
      <c r="N64" s="82"/>
      <c r="O64" s="71"/>
      <c r="P64" s="91"/>
      <c r="Q64" s="71"/>
      <c r="R64" s="75"/>
      <c r="S64" s="71"/>
      <c r="T64" s="91"/>
      <c r="U64" s="71"/>
      <c r="V64" s="91"/>
      <c r="W64" s="71"/>
      <c r="X64" s="72"/>
      <c r="Y64" s="71"/>
      <c r="Z64" s="72"/>
      <c r="AA64" s="27"/>
      <c r="AB64" s="72"/>
      <c r="AC64" s="71"/>
      <c r="AD64" s="75"/>
      <c r="AE64" s="26"/>
      <c r="AF64" s="75" t="e">
        <f>AC64*#REF!</f>
        <v>#REF!</v>
      </c>
      <c r="AG64" s="189"/>
      <c r="AH64" s="20"/>
      <c r="AI64" s="84"/>
      <c r="AJ64" s="85"/>
    </row>
    <row r="65" s="1" customFormat="1" ht="18" customHeight="1" spans="1:36">
      <c r="A65" s="67"/>
      <c r="B65" s="67"/>
      <c r="C65" s="69"/>
      <c r="D65" s="69"/>
      <c r="E65" s="69"/>
      <c r="F65" s="67"/>
      <c r="G65" s="67"/>
      <c r="H65" s="67"/>
      <c r="I65" s="20"/>
      <c r="J65" s="25"/>
      <c r="K65" s="71"/>
      <c r="L65" s="72"/>
      <c r="M65" s="71"/>
      <c r="N65" s="82"/>
      <c r="O65" s="71"/>
      <c r="P65" s="91"/>
      <c r="Q65" s="71"/>
      <c r="R65" s="75"/>
      <c r="S65" s="71"/>
      <c r="T65" s="91"/>
      <c r="U65" s="71"/>
      <c r="V65" s="91"/>
      <c r="W65" s="71"/>
      <c r="X65" s="72"/>
      <c r="Y65" s="71"/>
      <c r="Z65" s="72"/>
      <c r="AA65" s="27"/>
      <c r="AB65" s="72"/>
      <c r="AC65" s="71"/>
      <c r="AD65" s="75"/>
      <c r="AE65" s="26"/>
      <c r="AF65" s="75" t="e">
        <f>AC65*#REF!</f>
        <v>#REF!</v>
      </c>
      <c r="AG65" s="189"/>
      <c r="AH65" s="20"/>
      <c r="AI65" s="84"/>
      <c r="AJ65" s="85"/>
    </row>
    <row r="66" s="1" customFormat="1" ht="18" customHeight="1" spans="1:36">
      <c r="A66" s="67"/>
      <c r="B66" s="67"/>
      <c r="C66" s="69"/>
      <c r="D66" s="69"/>
      <c r="E66" s="69"/>
      <c r="F66" s="67"/>
      <c r="G66" s="67"/>
      <c r="H66" s="67"/>
      <c r="I66" s="20"/>
      <c r="J66" s="25"/>
      <c r="K66" s="71"/>
      <c r="L66" s="72"/>
      <c r="M66" s="71"/>
      <c r="N66" s="82"/>
      <c r="O66" s="71"/>
      <c r="P66" s="91"/>
      <c r="Q66" s="71"/>
      <c r="R66" s="75"/>
      <c r="S66" s="71"/>
      <c r="T66" s="91"/>
      <c r="U66" s="71"/>
      <c r="V66" s="91"/>
      <c r="W66" s="71"/>
      <c r="X66" s="72"/>
      <c r="Y66" s="71"/>
      <c r="Z66" s="72"/>
      <c r="AA66" s="27"/>
      <c r="AB66" s="72"/>
      <c r="AC66" s="71"/>
      <c r="AD66" s="75"/>
      <c r="AE66" s="26"/>
      <c r="AF66" s="75" t="e">
        <f>AC66*#REF!</f>
        <v>#REF!</v>
      </c>
      <c r="AG66" s="189"/>
      <c r="AH66" s="20"/>
      <c r="AI66" s="84"/>
      <c r="AJ66" s="85"/>
    </row>
    <row r="67" s="1" customFormat="1" ht="18" customHeight="1" spans="1:36">
      <c r="A67" s="67"/>
      <c r="B67" s="67"/>
      <c r="C67" s="69"/>
      <c r="D67" s="69"/>
      <c r="E67" s="69"/>
      <c r="F67" s="67"/>
      <c r="G67" s="67"/>
      <c r="H67" s="67"/>
      <c r="I67" s="20"/>
      <c r="J67" s="25"/>
      <c r="K67" s="71"/>
      <c r="L67" s="72"/>
      <c r="M67" s="71"/>
      <c r="N67" s="82"/>
      <c r="O67" s="71"/>
      <c r="P67" s="91"/>
      <c r="Q67" s="71"/>
      <c r="R67" s="75"/>
      <c r="S67" s="71"/>
      <c r="T67" s="91"/>
      <c r="U67" s="71"/>
      <c r="V67" s="91"/>
      <c r="W67" s="71"/>
      <c r="X67" s="72"/>
      <c r="Y67" s="71"/>
      <c r="Z67" s="72"/>
      <c r="AA67" s="27"/>
      <c r="AB67" s="72"/>
      <c r="AC67" s="71"/>
      <c r="AD67" s="75"/>
      <c r="AE67" s="26"/>
      <c r="AF67" s="75" t="e">
        <f>AC67*#REF!</f>
        <v>#REF!</v>
      </c>
      <c r="AG67" s="189"/>
      <c r="AH67" s="20"/>
      <c r="AI67" s="84"/>
      <c r="AJ67" s="85"/>
    </row>
    <row r="68" s="1" customFormat="1" ht="18" customHeight="1" spans="1:36">
      <c r="A68" s="67"/>
      <c r="B68" s="67"/>
      <c r="C68" s="69"/>
      <c r="D68" s="69"/>
      <c r="E68" s="69"/>
      <c r="F68" s="67"/>
      <c r="G68" s="67"/>
      <c r="H68" s="67"/>
      <c r="I68" s="20"/>
      <c r="J68" s="25"/>
      <c r="K68" s="71"/>
      <c r="L68" s="72"/>
      <c r="M68" s="71"/>
      <c r="N68" s="82"/>
      <c r="O68" s="71"/>
      <c r="P68" s="91"/>
      <c r="Q68" s="71"/>
      <c r="R68" s="75"/>
      <c r="S68" s="71"/>
      <c r="T68" s="91"/>
      <c r="U68" s="71"/>
      <c r="V68" s="91"/>
      <c r="W68" s="71"/>
      <c r="X68" s="72"/>
      <c r="Y68" s="71"/>
      <c r="Z68" s="72"/>
      <c r="AA68" s="27"/>
      <c r="AB68" s="72"/>
      <c r="AC68" s="71"/>
      <c r="AD68" s="75"/>
      <c r="AE68" s="26"/>
      <c r="AF68" s="75" t="e">
        <f>AC68*#REF!</f>
        <v>#REF!</v>
      </c>
      <c r="AG68" s="189"/>
      <c r="AH68" s="20"/>
      <c r="AI68" s="84"/>
      <c r="AJ68" s="85"/>
    </row>
    <row r="69" s="1" customFormat="1" ht="18" customHeight="1" spans="1:36">
      <c r="A69" s="67"/>
      <c r="B69" s="67"/>
      <c r="C69" s="69"/>
      <c r="D69" s="69"/>
      <c r="E69" s="69"/>
      <c r="F69" s="67"/>
      <c r="G69" s="67"/>
      <c r="H69" s="67"/>
      <c r="I69" s="20"/>
      <c r="J69" s="25"/>
      <c r="K69" s="71"/>
      <c r="L69" s="72"/>
      <c r="M69" s="71"/>
      <c r="N69" s="82"/>
      <c r="O69" s="71"/>
      <c r="P69" s="91"/>
      <c r="Q69" s="71"/>
      <c r="R69" s="75"/>
      <c r="S69" s="71"/>
      <c r="T69" s="91"/>
      <c r="U69" s="71"/>
      <c r="V69" s="91"/>
      <c r="W69" s="71"/>
      <c r="X69" s="72"/>
      <c r="Y69" s="71"/>
      <c r="Z69" s="72"/>
      <c r="AA69" s="27"/>
      <c r="AB69" s="72"/>
      <c r="AC69" s="71"/>
      <c r="AD69" s="75"/>
      <c r="AE69" s="26"/>
      <c r="AF69" s="75" t="e">
        <f>AC69*#REF!</f>
        <v>#REF!</v>
      </c>
      <c r="AG69" s="189"/>
      <c r="AH69" s="20"/>
      <c r="AI69" s="84"/>
      <c r="AJ69" s="85"/>
    </row>
    <row r="70" s="1" customFormat="1" ht="18" customHeight="1" spans="1:36">
      <c r="A70" s="67"/>
      <c r="B70" s="67"/>
      <c r="C70" s="69"/>
      <c r="D70" s="69"/>
      <c r="E70" s="69"/>
      <c r="F70" s="67"/>
      <c r="G70" s="67"/>
      <c r="H70" s="67"/>
      <c r="I70" s="20"/>
      <c r="J70" s="25"/>
      <c r="K70" s="71"/>
      <c r="L70" s="72"/>
      <c r="M70" s="71"/>
      <c r="N70" s="82"/>
      <c r="O70" s="71"/>
      <c r="P70" s="91"/>
      <c r="Q70" s="71"/>
      <c r="R70" s="75"/>
      <c r="S70" s="71"/>
      <c r="T70" s="91"/>
      <c r="U70" s="71"/>
      <c r="V70" s="91"/>
      <c r="W70" s="71"/>
      <c r="X70" s="72"/>
      <c r="Y70" s="71"/>
      <c r="Z70" s="72"/>
      <c r="AA70" s="27"/>
      <c r="AB70" s="72"/>
      <c r="AC70" s="71"/>
      <c r="AD70" s="75"/>
      <c r="AE70" s="26"/>
      <c r="AF70" s="75" t="e">
        <f>AC70*#REF!</f>
        <v>#REF!</v>
      </c>
      <c r="AG70" s="189"/>
      <c r="AH70" s="20"/>
      <c r="AI70" s="84"/>
      <c r="AJ70" s="85"/>
    </row>
    <row r="71" s="1" customFormat="1" ht="18" customHeight="1" spans="1:36">
      <c r="A71" s="67"/>
      <c r="B71" s="67"/>
      <c r="C71" s="69"/>
      <c r="D71" s="69"/>
      <c r="E71" s="69"/>
      <c r="F71" s="67"/>
      <c r="G71" s="67"/>
      <c r="H71" s="67"/>
      <c r="I71" s="20"/>
      <c r="J71" s="25"/>
      <c r="K71" s="71"/>
      <c r="L71" s="72"/>
      <c r="M71" s="71"/>
      <c r="N71" s="82"/>
      <c r="O71" s="71"/>
      <c r="P71" s="91"/>
      <c r="Q71" s="71"/>
      <c r="R71" s="75"/>
      <c r="S71" s="71"/>
      <c r="T71" s="91"/>
      <c r="U71" s="71"/>
      <c r="V71" s="91"/>
      <c r="W71" s="71"/>
      <c r="X71" s="72"/>
      <c r="Y71" s="71"/>
      <c r="Z71" s="72"/>
      <c r="AA71" s="27"/>
      <c r="AB71" s="72"/>
      <c r="AC71" s="71"/>
      <c r="AD71" s="75"/>
      <c r="AE71" s="26"/>
      <c r="AF71" s="75" t="e">
        <f>AC71*#REF!</f>
        <v>#REF!</v>
      </c>
      <c r="AG71" s="189"/>
      <c r="AH71" s="20"/>
      <c r="AI71" s="84"/>
      <c r="AJ71" s="85"/>
    </row>
    <row r="72" s="1" customFormat="1" ht="18" customHeight="1" spans="1:36">
      <c r="A72" s="67"/>
      <c r="B72" s="67"/>
      <c r="C72" s="69"/>
      <c r="D72" s="69"/>
      <c r="E72" s="69"/>
      <c r="F72" s="67"/>
      <c r="G72" s="67"/>
      <c r="H72" s="67"/>
      <c r="I72" s="20"/>
      <c r="J72" s="25"/>
      <c r="K72" s="71"/>
      <c r="L72" s="72"/>
      <c r="M72" s="71"/>
      <c r="N72" s="82"/>
      <c r="O72" s="71"/>
      <c r="P72" s="91"/>
      <c r="Q72" s="71"/>
      <c r="R72" s="75"/>
      <c r="S72" s="71"/>
      <c r="T72" s="91"/>
      <c r="U72" s="71"/>
      <c r="V72" s="91"/>
      <c r="W72" s="71"/>
      <c r="X72" s="72"/>
      <c r="Y72" s="71"/>
      <c r="Z72" s="72"/>
      <c r="AA72" s="27"/>
      <c r="AB72" s="72"/>
      <c r="AC72" s="71"/>
      <c r="AD72" s="75"/>
      <c r="AE72" s="26"/>
      <c r="AF72" s="75" t="e">
        <f>AC72*#REF!</f>
        <v>#REF!</v>
      </c>
      <c r="AG72" s="189"/>
      <c r="AH72" s="20"/>
      <c r="AI72" s="84"/>
      <c r="AJ72" s="85"/>
    </row>
    <row r="73" s="1" customFormat="1" ht="18" customHeight="1" spans="1:36">
      <c r="A73" s="67"/>
      <c r="B73" s="67"/>
      <c r="C73" s="69"/>
      <c r="D73" s="69"/>
      <c r="E73" s="69"/>
      <c r="F73" s="67"/>
      <c r="G73" s="67"/>
      <c r="H73" s="67"/>
      <c r="I73" s="20"/>
      <c r="J73" s="25"/>
      <c r="K73" s="71"/>
      <c r="L73" s="72"/>
      <c r="M73" s="71"/>
      <c r="N73" s="82"/>
      <c r="O73" s="71"/>
      <c r="P73" s="91"/>
      <c r="Q73" s="71"/>
      <c r="R73" s="75"/>
      <c r="S73" s="71"/>
      <c r="T73" s="91"/>
      <c r="U73" s="71"/>
      <c r="V73" s="91"/>
      <c r="W73" s="71"/>
      <c r="X73" s="72"/>
      <c r="Y73" s="71"/>
      <c r="Z73" s="72"/>
      <c r="AA73" s="27"/>
      <c r="AB73" s="72"/>
      <c r="AC73" s="71"/>
      <c r="AD73" s="75"/>
      <c r="AE73" s="26"/>
      <c r="AF73" s="75" t="e">
        <f>AC73*#REF!</f>
        <v>#REF!</v>
      </c>
      <c r="AG73" s="189"/>
      <c r="AH73" s="20"/>
      <c r="AI73" s="84"/>
      <c r="AJ73" s="85"/>
    </row>
    <row r="74" s="1" customFormat="1" ht="18" customHeight="1" spans="1:36">
      <c r="A74" s="67"/>
      <c r="B74" s="67"/>
      <c r="C74" s="69"/>
      <c r="D74" s="69"/>
      <c r="E74" s="69"/>
      <c r="F74" s="67"/>
      <c r="G74" s="67"/>
      <c r="H74" s="67"/>
      <c r="I74" s="20"/>
      <c r="J74" s="25"/>
      <c r="K74" s="71"/>
      <c r="L74" s="72"/>
      <c r="M74" s="71"/>
      <c r="N74" s="82"/>
      <c r="O74" s="71"/>
      <c r="P74" s="91"/>
      <c r="Q74" s="71"/>
      <c r="R74" s="75"/>
      <c r="S74" s="71"/>
      <c r="T74" s="91"/>
      <c r="U74" s="71"/>
      <c r="V74" s="91"/>
      <c r="W74" s="71"/>
      <c r="X74" s="72"/>
      <c r="Y74" s="71"/>
      <c r="Z74" s="72"/>
      <c r="AA74" s="27"/>
      <c r="AB74" s="72"/>
      <c r="AC74" s="71"/>
      <c r="AD74" s="75"/>
      <c r="AE74" s="26"/>
      <c r="AF74" s="75" t="e">
        <f>AC74*#REF!</f>
        <v>#REF!</v>
      </c>
      <c r="AG74" s="189"/>
      <c r="AH74" s="20"/>
      <c r="AI74" s="84"/>
      <c r="AJ74" s="85"/>
    </row>
    <row r="75" s="1" customFormat="1" ht="18" customHeight="1" spans="1:36">
      <c r="A75" s="67"/>
      <c r="B75" s="67"/>
      <c r="C75" s="69"/>
      <c r="D75" s="69"/>
      <c r="E75" s="69"/>
      <c r="F75" s="67"/>
      <c r="G75" s="67"/>
      <c r="H75" s="67"/>
      <c r="I75" s="20"/>
      <c r="J75" s="25"/>
      <c r="K75" s="71"/>
      <c r="L75" s="72"/>
      <c r="M75" s="71"/>
      <c r="N75" s="82"/>
      <c r="O75" s="71"/>
      <c r="P75" s="91"/>
      <c r="Q75" s="71"/>
      <c r="R75" s="75"/>
      <c r="S75" s="71"/>
      <c r="T75" s="91"/>
      <c r="U75" s="71"/>
      <c r="V75" s="91"/>
      <c r="W75" s="71"/>
      <c r="X75" s="72"/>
      <c r="Y75" s="71"/>
      <c r="Z75" s="72"/>
      <c r="AA75" s="27"/>
      <c r="AB75" s="72"/>
      <c r="AC75" s="71"/>
      <c r="AD75" s="75"/>
      <c r="AE75" s="26"/>
      <c r="AF75" s="75" t="e">
        <f>AC75*#REF!</f>
        <v>#REF!</v>
      </c>
      <c r="AG75" s="189"/>
      <c r="AH75" s="20"/>
      <c r="AI75" s="84"/>
      <c r="AJ75" s="85"/>
    </row>
    <row r="76" s="1" customFormat="1" ht="18" customHeight="1" spans="1:36">
      <c r="A76" s="67"/>
      <c r="B76" s="67"/>
      <c r="C76" s="69"/>
      <c r="D76" s="69"/>
      <c r="E76" s="69"/>
      <c r="F76" s="67"/>
      <c r="G76" s="67"/>
      <c r="H76" s="67"/>
      <c r="I76" s="20"/>
      <c r="J76" s="25"/>
      <c r="K76" s="71"/>
      <c r="L76" s="72"/>
      <c r="M76" s="71"/>
      <c r="N76" s="82"/>
      <c r="O76" s="71"/>
      <c r="P76" s="91"/>
      <c r="Q76" s="71"/>
      <c r="R76" s="75"/>
      <c r="S76" s="71"/>
      <c r="T76" s="91"/>
      <c r="U76" s="71"/>
      <c r="V76" s="91"/>
      <c r="W76" s="71"/>
      <c r="X76" s="72"/>
      <c r="Y76" s="71"/>
      <c r="Z76" s="72"/>
      <c r="AA76" s="27"/>
      <c r="AB76" s="72"/>
      <c r="AC76" s="71"/>
      <c r="AD76" s="75"/>
      <c r="AE76" s="26"/>
      <c r="AF76" s="75" t="e">
        <f>AC76*#REF!</f>
        <v>#REF!</v>
      </c>
      <c r="AG76" s="189"/>
      <c r="AH76" s="20"/>
      <c r="AI76" s="84"/>
      <c r="AJ76" s="85"/>
    </row>
    <row r="77" s="1" customFormat="1" ht="18" customHeight="1" spans="1:36">
      <c r="A77" s="67"/>
      <c r="B77" s="67"/>
      <c r="C77" s="69"/>
      <c r="D77" s="69"/>
      <c r="E77" s="69"/>
      <c r="F77" s="67"/>
      <c r="G77" s="67"/>
      <c r="H77" s="67"/>
      <c r="I77" s="20"/>
      <c r="J77" s="25"/>
      <c r="K77" s="71"/>
      <c r="L77" s="72"/>
      <c r="M77" s="71"/>
      <c r="N77" s="82"/>
      <c r="O77" s="71"/>
      <c r="P77" s="91"/>
      <c r="Q77" s="71"/>
      <c r="R77" s="75"/>
      <c r="S77" s="71"/>
      <c r="T77" s="91"/>
      <c r="U77" s="71"/>
      <c r="V77" s="91"/>
      <c r="W77" s="71"/>
      <c r="X77" s="72"/>
      <c r="Y77" s="71"/>
      <c r="Z77" s="72"/>
      <c r="AA77" s="27"/>
      <c r="AB77" s="72"/>
      <c r="AC77" s="71"/>
      <c r="AD77" s="75"/>
      <c r="AE77" s="26"/>
      <c r="AF77" s="75" t="e">
        <f>AC77*#REF!</f>
        <v>#REF!</v>
      </c>
      <c r="AG77" s="189"/>
      <c r="AH77" s="20"/>
      <c r="AI77" s="84"/>
      <c r="AJ77" s="85"/>
    </row>
    <row r="78" s="1" customFormat="1" ht="18" customHeight="1" spans="1:36">
      <c r="A78" s="67"/>
      <c r="B78" s="67"/>
      <c r="C78" s="69"/>
      <c r="D78" s="69"/>
      <c r="E78" s="69"/>
      <c r="F78" s="67"/>
      <c r="G78" s="67"/>
      <c r="H78" s="67"/>
      <c r="I78" s="20"/>
      <c r="J78" s="25"/>
      <c r="K78" s="71"/>
      <c r="L78" s="72"/>
      <c r="M78" s="71"/>
      <c r="N78" s="82"/>
      <c r="O78" s="71"/>
      <c r="P78" s="91"/>
      <c r="Q78" s="71"/>
      <c r="R78" s="75"/>
      <c r="S78" s="71"/>
      <c r="T78" s="91"/>
      <c r="U78" s="71"/>
      <c r="V78" s="91"/>
      <c r="W78" s="71"/>
      <c r="X78" s="72"/>
      <c r="Y78" s="71"/>
      <c r="Z78" s="72"/>
      <c r="AA78" s="27"/>
      <c r="AB78" s="72"/>
      <c r="AC78" s="71"/>
      <c r="AD78" s="75"/>
      <c r="AE78" s="26"/>
      <c r="AF78" s="75" t="e">
        <f>AC78*#REF!</f>
        <v>#REF!</v>
      </c>
      <c r="AG78" s="189"/>
      <c r="AH78" s="20"/>
      <c r="AI78" s="84"/>
      <c r="AJ78" s="85"/>
    </row>
    <row r="79" s="1" customFormat="1" ht="18" customHeight="1" spans="1:36">
      <c r="A79" s="67"/>
      <c r="B79" s="67"/>
      <c r="C79" s="69"/>
      <c r="D79" s="69"/>
      <c r="E79" s="69"/>
      <c r="F79" s="67"/>
      <c r="G79" s="67"/>
      <c r="H79" s="67"/>
      <c r="I79" s="20"/>
      <c r="J79" s="25"/>
      <c r="K79" s="71"/>
      <c r="L79" s="72"/>
      <c r="M79" s="71"/>
      <c r="N79" s="82"/>
      <c r="O79" s="71"/>
      <c r="P79" s="91"/>
      <c r="Q79" s="71"/>
      <c r="R79" s="75"/>
      <c r="S79" s="71"/>
      <c r="T79" s="91"/>
      <c r="U79" s="71"/>
      <c r="V79" s="91"/>
      <c r="W79" s="71"/>
      <c r="X79" s="72"/>
      <c r="Y79" s="71"/>
      <c r="Z79" s="72"/>
      <c r="AA79" s="27"/>
      <c r="AB79" s="72"/>
      <c r="AC79" s="71"/>
      <c r="AD79" s="75"/>
      <c r="AE79" s="26"/>
      <c r="AF79" s="75" t="e">
        <f>AC79*#REF!</f>
        <v>#REF!</v>
      </c>
      <c r="AG79" s="189"/>
      <c r="AH79" s="20"/>
      <c r="AI79" s="84"/>
      <c r="AJ79" s="85"/>
    </row>
    <row r="80" s="1" customFormat="1" ht="18" customHeight="1" spans="1:36">
      <c r="A80" s="67"/>
      <c r="B80" s="67"/>
      <c r="C80" s="69"/>
      <c r="D80" s="69"/>
      <c r="E80" s="69"/>
      <c r="F80" s="67"/>
      <c r="G80" s="67"/>
      <c r="H80" s="67"/>
      <c r="I80" s="20"/>
      <c r="J80" s="25"/>
      <c r="K80" s="71"/>
      <c r="L80" s="72"/>
      <c r="M80" s="71"/>
      <c r="N80" s="82"/>
      <c r="O80" s="71"/>
      <c r="P80" s="91"/>
      <c r="Q80" s="71"/>
      <c r="R80" s="75"/>
      <c r="S80" s="71"/>
      <c r="T80" s="91"/>
      <c r="U80" s="71"/>
      <c r="V80" s="91"/>
      <c r="W80" s="71"/>
      <c r="X80" s="72"/>
      <c r="Y80" s="71"/>
      <c r="Z80" s="72"/>
      <c r="AA80" s="27"/>
      <c r="AB80" s="72"/>
      <c r="AC80" s="71"/>
      <c r="AD80" s="75"/>
      <c r="AE80" s="26"/>
      <c r="AF80" s="75" t="e">
        <f>AC80*#REF!</f>
        <v>#REF!</v>
      </c>
      <c r="AG80" s="189"/>
      <c r="AH80" s="20"/>
      <c r="AI80" s="84"/>
      <c r="AJ80" s="85"/>
    </row>
    <row r="81" s="1" customFormat="1" ht="18" customHeight="1" spans="1:36">
      <c r="A81" s="67"/>
      <c r="B81" s="67"/>
      <c r="C81" s="69"/>
      <c r="D81" s="69"/>
      <c r="E81" s="69"/>
      <c r="F81" s="67"/>
      <c r="G81" s="67"/>
      <c r="H81" s="67"/>
      <c r="I81" s="20"/>
      <c r="J81" s="25"/>
      <c r="K81" s="71"/>
      <c r="L81" s="72"/>
      <c r="M81" s="71"/>
      <c r="N81" s="82"/>
      <c r="O81" s="71"/>
      <c r="P81" s="91"/>
      <c r="Q81" s="71"/>
      <c r="R81" s="75"/>
      <c r="S81" s="71"/>
      <c r="T81" s="91"/>
      <c r="U81" s="71"/>
      <c r="V81" s="91"/>
      <c r="W81" s="71"/>
      <c r="X81" s="72"/>
      <c r="Y81" s="71"/>
      <c r="Z81" s="72"/>
      <c r="AA81" s="27"/>
      <c r="AB81" s="72"/>
      <c r="AC81" s="71"/>
      <c r="AD81" s="75"/>
      <c r="AE81" s="26"/>
      <c r="AF81" s="75" t="e">
        <f>AC81*#REF!</f>
        <v>#REF!</v>
      </c>
      <c r="AG81" s="189"/>
      <c r="AH81" s="20"/>
      <c r="AI81" s="84"/>
      <c r="AJ81" s="85"/>
    </row>
    <row r="82" s="1" customFormat="1" ht="18" customHeight="1" spans="1:36">
      <c r="A82" s="67"/>
      <c r="B82" s="67"/>
      <c r="C82" s="69"/>
      <c r="D82" s="69"/>
      <c r="E82" s="69"/>
      <c r="F82" s="67"/>
      <c r="G82" s="67"/>
      <c r="H82" s="67"/>
      <c r="I82" s="20"/>
      <c r="J82" s="25"/>
      <c r="K82" s="71"/>
      <c r="L82" s="72"/>
      <c r="M82" s="71"/>
      <c r="N82" s="82"/>
      <c r="O82" s="71"/>
      <c r="P82" s="91"/>
      <c r="Q82" s="71"/>
      <c r="R82" s="75"/>
      <c r="S82" s="71"/>
      <c r="T82" s="91"/>
      <c r="U82" s="71"/>
      <c r="V82" s="91"/>
      <c r="W82" s="71"/>
      <c r="X82" s="72"/>
      <c r="Y82" s="71"/>
      <c r="Z82" s="72"/>
      <c r="AA82" s="27"/>
      <c r="AB82" s="72"/>
      <c r="AC82" s="71"/>
      <c r="AD82" s="75"/>
      <c r="AE82" s="26"/>
      <c r="AF82" s="75" t="e">
        <f>AC82*#REF!</f>
        <v>#REF!</v>
      </c>
      <c r="AG82" s="189"/>
      <c r="AH82" s="20"/>
      <c r="AI82" s="84"/>
      <c r="AJ82" s="85"/>
    </row>
    <row r="83" s="1" customFormat="1" ht="18" customHeight="1" spans="1:36">
      <c r="A83" s="67"/>
      <c r="B83" s="67"/>
      <c r="C83" s="69"/>
      <c r="D83" s="69"/>
      <c r="E83" s="69"/>
      <c r="F83" s="67"/>
      <c r="G83" s="67"/>
      <c r="H83" s="67"/>
      <c r="I83" s="20"/>
      <c r="J83" s="25"/>
      <c r="K83" s="71"/>
      <c r="L83" s="72"/>
      <c r="M83" s="71"/>
      <c r="N83" s="82"/>
      <c r="O83" s="71"/>
      <c r="P83" s="91"/>
      <c r="Q83" s="71"/>
      <c r="R83" s="75"/>
      <c r="S83" s="71"/>
      <c r="T83" s="91"/>
      <c r="U83" s="71"/>
      <c r="V83" s="91"/>
      <c r="W83" s="71"/>
      <c r="X83" s="72"/>
      <c r="Y83" s="71"/>
      <c r="Z83" s="72"/>
      <c r="AA83" s="27"/>
      <c r="AB83" s="72"/>
      <c r="AC83" s="71"/>
      <c r="AD83" s="75"/>
      <c r="AE83" s="26"/>
      <c r="AF83" s="75" t="e">
        <f>AC83*#REF!</f>
        <v>#REF!</v>
      </c>
      <c r="AG83" s="189"/>
      <c r="AH83" s="20"/>
      <c r="AI83" s="84"/>
      <c r="AJ83" s="85"/>
    </row>
    <row r="84" s="1" customFormat="1" ht="18" customHeight="1" spans="1:36">
      <c r="A84" s="67"/>
      <c r="B84" s="67"/>
      <c r="C84" s="69"/>
      <c r="D84" s="69"/>
      <c r="E84" s="69"/>
      <c r="F84" s="67"/>
      <c r="G84" s="67"/>
      <c r="H84" s="67"/>
      <c r="I84" s="20"/>
      <c r="J84" s="25"/>
      <c r="K84" s="71"/>
      <c r="L84" s="72"/>
      <c r="M84" s="71"/>
      <c r="N84" s="82"/>
      <c r="O84" s="71"/>
      <c r="P84" s="91"/>
      <c r="Q84" s="71"/>
      <c r="R84" s="75"/>
      <c r="S84" s="71"/>
      <c r="T84" s="91"/>
      <c r="U84" s="71"/>
      <c r="V84" s="91"/>
      <c r="W84" s="71"/>
      <c r="X84" s="72"/>
      <c r="Y84" s="71"/>
      <c r="Z84" s="72"/>
      <c r="AA84" s="27"/>
      <c r="AB84" s="72"/>
      <c r="AC84" s="71"/>
      <c r="AD84" s="75"/>
      <c r="AE84" s="26"/>
      <c r="AF84" s="75" t="e">
        <f>AC84*#REF!</f>
        <v>#REF!</v>
      </c>
      <c r="AG84" s="189"/>
      <c r="AH84" s="20"/>
      <c r="AI84" s="84"/>
      <c r="AJ84" s="85"/>
    </row>
    <row r="85" s="1" customFormat="1" ht="18" customHeight="1" spans="1:36">
      <c r="A85" s="67"/>
      <c r="B85" s="67"/>
      <c r="C85" s="69"/>
      <c r="D85" s="69"/>
      <c r="E85" s="69"/>
      <c r="F85" s="67"/>
      <c r="G85" s="67"/>
      <c r="H85" s="67"/>
      <c r="I85" s="20"/>
      <c r="J85" s="25"/>
      <c r="K85" s="71"/>
      <c r="L85" s="72"/>
      <c r="M85" s="71"/>
      <c r="N85" s="82"/>
      <c r="O85" s="71"/>
      <c r="P85" s="91"/>
      <c r="Q85" s="71"/>
      <c r="R85" s="75"/>
      <c r="S85" s="71"/>
      <c r="T85" s="91"/>
      <c r="U85" s="71"/>
      <c r="V85" s="91"/>
      <c r="W85" s="71"/>
      <c r="X85" s="72"/>
      <c r="Y85" s="71"/>
      <c r="Z85" s="72"/>
      <c r="AA85" s="27"/>
      <c r="AB85" s="72"/>
      <c r="AC85" s="71"/>
      <c r="AD85" s="75"/>
      <c r="AE85" s="26"/>
      <c r="AF85" s="75" t="e">
        <f>AC85*#REF!</f>
        <v>#REF!</v>
      </c>
      <c r="AG85" s="189"/>
      <c r="AH85" s="20"/>
      <c r="AI85" s="84"/>
      <c r="AJ85" s="85"/>
    </row>
    <row r="86" s="1" customFormat="1" ht="18" customHeight="1" spans="1:36">
      <c r="A86" s="67"/>
      <c r="B86" s="67"/>
      <c r="C86" s="69"/>
      <c r="D86" s="69"/>
      <c r="E86" s="69"/>
      <c r="F86" s="67"/>
      <c r="G86" s="67"/>
      <c r="H86" s="67"/>
      <c r="I86" s="20"/>
      <c r="J86" s="25"/>
      <c r="K86" s="71"/>
      <c r="L86" s="72"/>
      <c r="M86" s="71"/>
      <c r="N86" s="82"/>
      <c r="O86" s="71"/>
      <c r="P86" s="91"/>
      <c r="Q86" s="71"/>
      <c r="R86" s="75"/>
      <c r="S86" s="71"/>
      <c r="T86" s="91"/>
      <c r="U86" s="71"/>
      <c r="V86" s="91"/>
      <c r="W86" s="71"/>
      <c r="X86" s="72"/>
      <c r="Y86" s="71"/>
      <c r="Z86" s="72"/>
      <c r="AA86" s="27"/>
      <c r="AB86" s="72"/>
      <c r="AC86" s="71"/>
      <c r="AD86" s="75"/>
      <c r="AE86" s="26"/>
      <c r="AF86" s="75" t="e">
        <f>AC86*#REF!</f>
        <v>#REF!</v>
      </c>
      <c r="AG86" s="189"/>
      <c r="AH86" s="20"/>
      <c r="AI86" s="84"/>
      <c r="AJ86" s="85"/>
    </row>
    <row r="87" s="1" customFormat="1" ht="18" customHeight="1" spans="1:36">
      <c r="A87" s="67"/>
      <c r="B87" s="67"/>
      <c r="C87" s="69"/>
      <c r="D87" s="69"/>
      <c r="E87" s="69"/>
      <c r="F87" s="67"/>
      <c r="G87" s="67"/>
      <c r="H87" s="67"/>
      <c r="I87" s="20"/>
      <c r="J87" s="25"/>
      <c r="K87" s="71"/>
      <c r="L87" s="72"/>
      <c r="M87" s="71"/>
      <c r="N87" s="82"/>
      <c r="O87" s="71"/>
      <c r="P87" s="91"/>
      <c r="Q87" s="71"/>
      <c r="R87" s="75"/>
      <c r="S87" s="71"/>
      <c r="T87" s="91"/>
      <c r="U87" s="71"/>
      <c r="V87" s="91"/>
      <c r="W87" s="71"/>
      <c r="X87" s="72"/>
      <c r="Y87" s="71"/>
      <c r="Z87" s="72"/>
      <c r="AA87" s="27"/>
      <c r="AB87" s="72"/>
      <c r="AC87" s="71"/>
      <c r="AD87" s="75"/>
      <c r="AE87" s="26"/>
      <c r="AF87" s="75" t="e">
        <f>AC87*#REF!</f>
        <v>#REF!</v>
      </c>
      <c r="AG87" s="189"/>
      <c r="AH87" s="20"/>
      <c r="AI87" s="84"/>
      <c r="AJ87" s="85"/>
    </row>
    <row r="88" s="1" customFormat="1" ht="18" customHeight="1" spans="1:36">
      <c r="A88" s="67"/>
      <c r="B88" s="67"/>
      <c r="C88" s="69"/>
      <c r="D88" s="69"/>
      <c r="E88" s="69"/>
      <c r="F88" s="67"/>
      <c r="G88" s="67"/>
      <c r="H88" s="67"/>
      <c r="I88" s="20"/>
      <c r="J88" s="25"/>
      <c r="K88" s="71"/>
      <c r="L88" s="72"/>
      <c r="M88" s="71"/>
      <c r="N88" s="82"/>
      <c r="O88" s="71"/>
      <c r="P88" s="91"/>
      <c r="Q88" s="71"/>
      <c r="R88" s="75"/>
      <c r="S88" s="71"/>
      <c r="T88" s="91"/>
      <c r="U88" s="71"/>
      <c r="V88" s="91"/>
      <c r="W88" s="71"/>
      <c r="X88" s="72"/>
      <c r="Y88" s="71"/>
      <c r="Z88" s="72"/>
      <c r="AA88" s="27"/>
      <c r="AB88" s="72"/>
      <c r="AC88" s="71"/>
      <c r="AD88" s="75"/>
      <c r="AE88" s="26"/>
      <c r="AF88" s="75" t="e">
        <f>AC88*#REF!</f>
        <v>#REF!</v>
      </c>
      <c r="AG88" s="189"/>
      <c r="AH88" s="20"/>
      <c r="AI88" s="84"/>
      <c r="AJ88" s="85"/>
    </row>
    <row r="89" s="1" customFormat="1" ht="18" customHeight="1" spans="1:36">
      <c r="A89" s="67"/>
      <c r="B89" s="67"/>
      <c r="C89" s="69"/>
      <c r="D89" s="69"/>
      <c r="E89" s="69"/>
      <c r="F89" s="67"/>
      <c r="G89" s="67"/>
      <c r="H89" s="67"/>
      <c r="I89" s="20"/>
      <c r="J89" s="25"/>
      <c r="K89" s="71"/>
      <c r="L89" s="72"/>
      <c r="M89" s="71"/>
      <c r="N89" s="82"/>
      <c r="O89" s="71"/>
      <c r="P89" s="91"/>
      <c r="Q89" s="71"/>
      <c r="R89" s="75"/>
      <c r="S89" s="71"/>
      <c r="T89" s="91"/>
      <c r="U89" s="71"/>
      <c r="V89" s="91"/>
      <c r="W89" s="71"/>
      <c r="X89" s="72"/>
      <c r="Y89" s="71"/>
      <c r="Z89" s="72"/>
      <c r="AA89" s="27"/>
      <c r="AB89" s="72"/>
      <c r="AC89" s="71"/>
      <c r="AD89" s="75"/>
      <c r="AE89" s="26"/>
      <c r="AF89" s="75" t="e">
        <f>AC89*#REF!</f>
        <v>#REF!</v>
      </c>
      <c r="AG89" s="189"/>
      <c r="AH89" s="20"/>
      <c r="AI89" s="84"/>
      <c r="AJ89" s="85"/>
    </row>
    <row r="90" s="1" customFormat="1" ht="18" customHeight="1" spans="1:36">
      <c r="A90" s="67"/>
      <c r="B90" s="67"/>
      <c r="C90" s="69"/>
      <c r="D90" s="69"/>
      <c r="E90" s="69"/>
      <c r="F90" s="67"/>
      <c r="G90" s="67"/>
      <c r="H90" s="67"/>
      <c r="I90" s="20"/>
      <c r="J90" s="25"/>
      <c r="K90" s="71"/>
      <c r="L90" s="72"/>
      <c r="M90" s="71"/>
      <c r="N90" s="82"/>
      <c r="O90" s="71"/>
      <c r="P90" s="91"/>
      <c r="Q90" s="71"/>
      <c r="R90" s="75"/>
      <c r="S90" s="71"/>
      <c r="T90" s="91"/>
      <c r="U90" s="71"/>
      <c r="V90" s="91"/>
      <c r="W90" s="71"/>
      <c r="X90" s="72"/>
      <c r="Y90" s="71"/>
      <c r="Z90" s="72"/>
      <c r="AA90" s="27"/>
      <c r="AB90" s="72"/>
      <c r="AC90" s="71"/>
      <c r="AD90" s="75"/>
      <c r="AE90" s="26"/>
      <c r="AF90" s="75" t="e">
        <f>AC90*#REF!</f>
        <v>#REF!</v>
      </c>
      <c r="AG90" s="189"/>
      <c r="AH90" s="20"/>
      <c r="AI90" s="84"/>
      <c r="AJ90" s="85"/>
    </row>
    <row r="91" s="1" customFormat="1" ht="18" customHeight="1" spans="1:36">
      <c r="A91" s="67"/>
      <c r="B91" s="67"/>
      <c r="C91" s="69"/>
      <c r="D91" s="69"/>
      <c r="E91" s="69"/>
      <c r="F91" s="67"/>
      <c r="G91" s="67"/>
      <c r="H91" s="67"/>
      <c r="I91" s="20"/>
      <c r="J91" s="25"/>
      <c r="K91" s="71"/>
      <c r="L91" s="72"/>
      <c r="M91" s="71"/>
      <c r="N91" s="82"/>
      <c r="O91" s="71"/>
      <c r="P91" s="91"/>
      <c r="Q91" s="71"/>
      <c r="R91" s="75"/>
      <c r="S91" s="71"/>
      <c r="T91" s="91"/>
      <c r="U91" s="71"/>
      <c r="V91" s="91"/>
      <c r="W91" s="71"/>
      <c r="X91" s="72"/>
      <c r="Y91" s="71"/>
      <c r="Z91" s="72"/>
      <c r="AA91" s="27"/>
      <c r="AB91" s="72"/>
      <c r="AC91" s="71"/>
      <c r="AD91" s="75"/>
      <c r="AE91" s="26"/>
      <c r="AF91" s="75" t="e">
        <f>AC91*#REF!</f>
        <v>#REF!</v>
      </c>
      <c r="AG91" s="189"/>
      <c r="AH91" s="20"/>
      <c r="AI91" s="84"/>
      <c r="AJ91" s="85"/>
    </row>
    <row r="92" s="1" customFormat="1" ht="18" customHeight="1" spans="1:36">
      <c r="A92" s="67"/>
      <c r="B92" s="67"/>
      <c r="C92" s="69"/>
      <c r="D92" s="69"/>
      <c r="E92" s="69"/>
      <c r="F92" s="67"/>
      <c r="G92" s="67"/>
      <c r="H92" s="67"/>
      <c r="I92" s="20"/>
      <c r="J92" s="25"/>
      <c r="K92" s="71"/>
      <c r="L92" s="72"/>
      <c r="M92" s="71"/>
      <c r="N92" s="82"/>
      <c r="O92" s="71"/>
      <c r="P92" s="91"/>
      <c r="Q92" s="71"/>
      <c r="R92" s="75"/>
      <c r="S92" s="71"/>
      <c r="T92" s="91"/>
      <c r="U92" s="71"/>
      <c r="V92" s="91"/>
      <c r="W92" s="71"/>
      <c r="X92" s="72"/>
      <c r="Y92" s="71"/>
      <c r="Z92" s="72"/>
      <c r="AA92" s="27"/>
      <c r="AB92" s="72"/>
      <c r="AC92" s="71"/>
      <c r="AD92" s="75"/>
      <c r="AE92" s="26"/>
      <c r="AF92" s="75" t="e">
        <f>AC92*#REF!</f>
        <v>#REF!</v>
      </c>
      <c r="AG92" s="189"/>
      <c r="AH92" s="20"/>
      <c r="AI92" s="84"/>
      <c r="AJ92" s="85"/>
    </row>
    <row r="93" s="1" customFormat="1" ht="18" customHeight="1" spans="1:36">
      <c r="A93" s="67"/>
      <c r="B93" s="67"/>
      <c r="C93" s="69"/>
      <c r="D93" s="69"/>
      <c r="E93" s="69"/>
      <c r="F93" s="67"/>
      <c r="G93" s="67"/>
      <c r="H93" s="67"/>
      <c r="I93" s="20"/>
      <c r="J93" s="25"/>
      <c r="K93" s="71"/>
      <c r="L93" s="72"/>
      <c r="M93" s="71"/>
      <c r="N93" s="82"/>
      <c r="O93" s="71"/>
      <c r="P93" s="91"/>
      <c r="Q93" s="71"/>
      <c r="R93" s="75"/>
      <c r="S93" s="71"/>
      <c r="T93" s="91"/>
      <c r="U93" s="71"/>
      <c r="V93" s="91"/>
      <c r="W93" s="71"/>
      <c r="X93" s="72"/>
      <c r="Y93" s="71"/>
      <c r="Z93" s="72"/>
      <c r="AA93" s="27"/>
      <c r="AB93" s="72"/>
      <c r="AC93" s="71"/>
      <c r="AD93" s="75"/>
      <c r="AE93" s="26"/>
      <c r="AF93" s="75" t="e">
        <f>AC93*#REF!</f>
        <v>#REF!</v>
      </c>
      <c r="AG93" s="189"/>
      <c r="AH93" s="20"/>
      <c r="AI93" s="84"/>
      <c r="AJ93" s="85"/>
    </row>
    <row r="94" s="1" customFormat="1" ht="18" customHeight="1" spans="1:36">
      <c r="A94" s="67"/>
      <c r="B94" s="67"/>
      <c r="C94" s="69"/>
      <c r="D94" s="69"/>
      <c r="E94" s="69"/>
      <c r="F94" s="67"/>
      <c r="G94" s="67"/>
      <c r="H94" s="67"/>
      <c r="I94" s="20"/>
      <c r="J94" s="25"/>
      <c r="K94" s="71"/>
      <c r="L94" s="72"/>
      <c r="M94" s="71"/>
      <c r="N94" s="82"/>
      <c r="O94" s="71"/>
      <c r="P94" s="91"/>
      <c r="Q94" s="71"/>
      <c r="R94" s="75"/>
      <c r="S94" s="71"/>
      <c r="T94" s="91"/>
      <c r="U94" s="71"/>
      <c r="V94" s="91"/>
      <c r="W94" s="71"/>
      <c r="X94" s="72"/>
      <c r="Y94" s="71"/>
      <c r="Z94" s="72"/>
      <c r="AA94" s="27"/>
      <c r="AB94" s="72"/>
      <c r="AC94" s="71"/>
      <c r="AD94" s="75"/>
      <c r="AE94" s="26"/>
      <c r="AF94" s="75" t="e">
        <f>AC94*#REF!</f>
        <v>#REF!</v>
      </c>
      <c r="AG94" s="189"/>
      <c r="AH94" s="20"/>
      <c r="AI94" s="84"/>
      <c r="AJ94" s="85"/>
    </row>
    <row r="95" s="1" customFormat="1" ht="18" customHeight="1" spans="1:36">
      <c r="A95" s="67"/>
      <c r="B95" s="67"/>
      <c r="C95" s="69"/>
      <c r="D95" s="69"/>
      <c r="E95" s="69"/>
      <c r="F95" s="67"/>
      <c r="G95" s="67"/>
      <c r="H95" s="67"/>
      <c r="I95" s="20"/>
      <c r="J95" s="25"/>
      <c r="K95" s="71"/>
      <c r="L95" s="72"/>
      <c r="M95" s="71"/>
      <c r="N95" s="82"/>
      <c r="O95" s="71"/>
      <c r="P95" s="91"/>
      <c r="Q95" s="71"/>
      <c r="R95" s="75"/>
      <c r="S95" s="71"/>
      <c r="T95" s="91"/>
      <c r="U95" s="71"/>
      <c r="V95" s="91"/>
      <c r="W95" s="71"/>
      <c r="X95" s="72"/>
      <c r="Y95" s="71"/>
      <c r="Z95" s="72"/>
      <c r="AA95" s="27"/>
      <c r="AB95" s="72"/>
      <c r="AC95" s="71"/>
      <c r="AD95" s="75"/>
      <c r="AE95" s="26"/>
      <c r="AF95" s="75" t="e">
        <f>AC95*#REF!</f>
        <v>#REF!</v>
      </c>
      <c r="AG95" s="189"/>
      <c r="AH95" s="20"/>
      <c r="AI95" s="84"/>
      <c r="AJ95" s="85"/>
    </row>
    <row r="96" s="1" customFormat="1" ht="18" customHeight="1" spans="1:36">
      <c r="A96" s="67"/>
      <c r="B96" s="67"/>
      <c r="C96" s="69"/>
      <c r="D96" s="69"/>
      <c r="E96" s="69"/>
      <c r="F96" s="67"/>
      <c r="G96" s="67"/>
      <c r="H96" s="67"/>
      <c r="I96" s="20"/>
      <c r="J96" s="25"/>
      <c r="K96" s="71"/>
      <c r="L96" s="72"/>
      <c r="M96" s="71"/>
      <c r="N96" s="82"/>
      <c r="O96" s="71"/>
      <c r="P96" s="91"/>
      <c r="Q96" s="71"/>
      <c r="R96" s="75"/>
      <c r="S96" s="71"/>
      <c r="T96" s="91"/>
      <c r="U96" s="71"/>
      <c r="V96" s="91"/>
      <c r="W96" s="71"/>
      <c r="X96" s="72"/>
      <c r="Y96" s="71"/>
      <c r="Z96" s="72"/>
      <c r="AA96" s="27"/>
      <c r="AB96" s="72"/>
      <c r="AC96" s="71"/>
      <c r="AD96" s="75"/>
      <c r="AE96" s="26"/>
      <c r="AF96" s="75" t="e">
        <f>AC96*#REF!</f>
        <v>#REF!</v>
      </c>
      <c r="AG96" s="189"/>
      <c r="AH96" s="20"/>
      <c r="AI96" s="84"/>
      <c r="AJ96" s="85"/>
    </row>
    <row r="97" s="1" customFormat="1" ht="18" customHeight="1" spans="1:36">
      <c r="A97" s="67"/>
      <c r="B97" s="67"/>
      <c r="C97" s="69"/>
      <c r="D97" s="69"/>
      <c r="E97" s="69"/>
      <c r="F97" s="67"/>
      <c r="G97" s="67"/>
      <c r="H97" s="67"/>
      <c r="I97" s="20"/>
      <c r="J97" s="25"/>
      <c r="K97" s="71"/>
      <c r="L97" s="72"/>
      <c r="M97" s="71"/>
      <c r="N97" s="82"/>
      <c r="O97" s="71"/>
      <c r="P97" s="91"/>
      <c r="Q97" s="71"/>
      <c r="R97" s="75"/>
      <c r="S97" s="71"/>
      <c r="T97" s="91"/>
      <c r="U97" s="71"/>
      <c r="V97" s="91"/>
      <c r="W97" s="71"/>
      <c r="X97" s="72"/>
      <c r="Y97" s="71"/>
      <c r="Z97" s="72"/>
      <c r="AA97" s="27"/>
      <c r="AB97" s="72"/>
      <c r="AC97" s="71"/>
      <c r="AD97" s="75"/>
      <c r="AE97" s="26"/>
      <c r="AF97" s="75" t="e">
        <f>AC97*#REF!</f>
        <v>#REF!</v>
      </c>
      <c r="AG97" s="189"/>
      <c r="AH97" s="20"/>
      <c r="AI97" s="84"/>
      <c r="AJ97" s="85"/>
    </row>
    <row r="98" s="1" customFormat="1" ht="18" customHeight="1" spans="1:36">
      <c r="A98" s="67"/>
      <c r="B98" s="67"/>
      <c r="C98" s="69"/>
      <c r="D98" s="69"/>
      <c r="E98" s="69"/>
      <c r="F98" s="67"/>
      <c r="G98" s="67"/>
      <c r="H98" s="67"/>
      <c r="I98" s="20"/>
      <c r="J98" s="25"/>
      <c r="K98" s="71"/>
      <c r="L98" s="72"/>
      <c r="M98" s="71"/>
      <c r="N98" s="82"/>
      <c r="O98" s="71"/>
      <c r="P98" s="91"/>
      <c r="Q98" s="71"/>
      <c r="R98" s="75"/>
      <c r="S98" s="71"/>
      <c r="T98" s="91"/>
      <c r="U98" s="71"/>
      <c r="V98" s="91"/>
      <c r="W98" s="71"/>
      <c r="X98" s="72"/>
      <c r="Y98" s="71"/>
      <c r="Z98" s="72"/>
      <c r="AA98" s="27"/>
      <c r="AB98" s="72"/>
      <c r="AC98" s="71"/>
      <c r="AD98" s="75"/>
      <c r="AE98" s="26"/>
      <c r="AF98" s="75" t="e">
        <f>AC98*#REF!</f>
        <v>#REF!</v>
      </c>
      <c r="AG98" s="189"/>
      <c r="AH98" s="20"/>
      <c r="AI98" s="84"/>
      <c r="AJ98" s="85"/>
    </row>
    <row r="99" s="1" customFormat="1" ht="18" customHeight="1" spans="1:36">
      <c r="A99" s="67"/>
      <c r="B99" s="67"/>
      <c r="C99" s="69"/>
      <c r="D99" s="69"/>
      <c r="E99" s="69"/>
      <c r="F99" s="67"/>
      <c r="G99" s="67"/>
      <c r="H99" s="67"/>
      <c r="I99" s="20"/>
      <c r="J99" s="25"/>
      <c r="K99" s="71"/>
      <c r="L99" s="72"/>
      <c r="M99" s="71"/>
      <c r="N99" s="82"/>
      <c r="O99" s="71"/>
      <c r="P99" s="91"/>
      <c r="Q99" s="71"/>
      <c r="R99" s="75"/>
      <c r="S99" s="71"/>
      <c r="T99" s="91"/>
      <c r="U99" s="71"/>
      <c r="V99" s="91"/>
      <c r="W99" s="71"/>
      <c r="X99" s="72"/>
      <c r="Y99" s="71"/>
      <c r="Z99" s="72"/>
      <c r="AA99" s="27"/>
      <c r="AB99" s="72"/>
      <c r="AC99" s="71"/>
      <c r="AD99" s="75"/>
      <c r="AE99" s="26"/>
      <c r="AF99" s="75" t="e">
        <f>AC99*#REF!</f>
        <v>#REF!</v>
      </c>
      <c r="AG99" s="189"/>
      <c r="AH99" s="20"/>
      <c r="AI99" s="84"/>
      <c r="AJ99" s="85"/>
    </row>
    <row r="100" s="1" customFormat="1" ht="18" customHeight="1" spans="1:36">
      <c r="A100" s="67"/>
      <c r="B100" s="67"/>
      <c r="C100" s="69"/>
      <c r="D100" s="69"/>
      <c r="E100" s="69"/>
      <c r="F100" s="67"/>
      <c r="G100" s="67"/>
      <c r="H100" s="67"/>
      <c r="I100" s="20"/>
      <c r="J100" s="25"/>
      <c r="K100" s="71"/>
      <c r="L100" s="72"/>
      <c r="M100" s="71"/>
      <c r="N100" s="82"/>
      <c r="O100" s="71"/>
      <c r="P100" s="91"/>
      <c r="Q100" s="71"/>
      <c r="R100" s="75"/>
      <c r="S100" s="71"/>
      <c r="T100" s="91"/>
      <c r="U100" s="71"/>
      <c r="V100" s="91"/>
      <c r="W100" s="71"/>
      <c r="X100" s="72"/>
      <c r="Y100" s="71"/>
      <c r="Z100" s="72"/>
      <c r="AA100" s="27"/>
      <c r="AB100" s="72"/>
      <c r="AC100" s="71"/>
      <c r="AD100" s="75"/>
      <c r="AE100" s="26"/>
      <c r="AF100" s="75" t="e">
        <f>AC100*#REF!</f>
        <v>#REF!</v>
      </c>
      <c r="AG100" s="189"/>
      <c r="AH100" s="20"/>
      <c r="AI100" s="84"/>
      <c r="AJ100" s="85"/>
    </row>
    <row r="101" s="1" customFormat="1" ht="18" customHeight="1" spans="1:36">
      <c r="A101" s="67"/>
      <c r="B101" s="67"/>
      <c r="C101" s="69"/>
      <c r="D101" s="69"/>
      <c r="E101" s="69"/>
      <c r="F101" s="67"/>
      <c r="G101" s="67"/>
      <c r="H101" s="67"/>
      <c r="I101" s="20"/>
      <c r="J101" s="25"/>
      <c r="K101" s="71"/>
      <c r="L101" s="72"/>
      <c r="M101" s="71"/>
      <c r="N101" s="82"/>
      <c r="O101" s="71"/>
      <c r="P101" s="91"/>
      <c r="Q101" s="71"/>
      <c r="R101" s="75"/>
      <c r="S101" s="71"/>
      <c r="T101" s="91"/>
      <c r="U101" s="71"/>
      <c r="V101" s="91"/>
      <c r="W101" s="71"/>
      <c r="X101" s="72"/>
      <c r="Y101" s="71"/>
      <c r="Z101" s="72"/>
      <c r="AA101" s="27"/>
      <c r="AB101" s="72"/>
      <c r="AC101" s="71"/>
      <c r="AD101" s="75"/>
      <c r="AE101" s="26"/>
      <c r="AF101" s="75" t="e">
        <f>AC101*#REF!</f>
        <v>#REF!</v>
      </c>
      <c r="AG101" s="189"/>
      <c r="AH101" s="20"/>
      <c r="AI101" s="84"/>
      <c r="AJ101" s="85"/>
    </row>
    <row r="102" s="1" customFormat="1" ht="18" customHeight="1" spans="1:36">
      <c r="A102" s="67"/>
      <c r="B102" s="67"/>
      <c r="C102" s="69"/>
      <c r="D102" s="69"/>
      <c r="E102" s="69"/>
      <c r="F102" s="67"/>
      <c r="G102" s="67"/>
      <c r="H102" s="67"/>
      <c r="I102" s="20"/>
      <c r="J102" s="25"/>
      <c r="K102" s="71"/>
      <c r="L102" s="72"/>
      <c r="M102" s="71"/>
      <c r="N102" s="82"/>
      <c r="O102" s="71"/>
      <c r="P102" s="91"/>
      <c r="Q102" s="71"/>
      <c r="R102" s="75"/>
      <c r="S102" s="71"/>
      <c r="T102" s="91"/>
      <c r="U102" s="71"/>
      <c r="V102" s="91"/>
      <c r="W102" s="71"/>
      <c r="X102" s="72"/>
      <c r="Y102" s="71"/>
      <c r="Z102" s="72"/>
      <c r="AA102" s="27"/>
      <c r="AB102" s="72"/>
      <c r="AC102" s="71"/>
      <c r="AD102" s="75"/>
      <c r="AE102" s="26"/>
      <c r="AF102" s="75" t="e">
        <f>AC102*#REF!</f>
        <v>#REF!</v>
      </c>
      <c r="AG102" s="189"/>
      <c r="AH102" s="20"/>
      <c r="AI102" s="84"/>
      <c r="AJ102" s="85"/>
    </row>
    <row r="103" s="1" customFormat="1" ht="18" customHeight="1" spans="1:36">
      <c r="A103" s="67"/>
      <c r="B103" s="67"/>
      <c r="C103" s="69"/>
      <c r="D103" s="69"/>
      <c r="E103" s="69"/>
      <c r="F103" s="67"/>
      <c r="G103" s="67"/>
      <c r="H103" s="67"/>
      <c r="I103" s="20"/>
      <c r="J103" s="25"/>
      <c r="K103" s="71"/>
      <c r="L103" s="72"/>
      <c r="M103" s="71"/>
      <c r="N103" s="82"/>
      <c r="O103" s="71"/>
      <c r="P103" s="91"/>
      <c r="Q103" s="71"/>
      <c r="R103" s="75"/>
      <c r="S103" s="71"/>
      <c r="T103" s="91"/>
      <c r="U103" s="71"/>
      <c r="V103" s="91"/>
      <c r="W103" s="71"/>
      <c r="X103" s="72"/>
      <c r="Y103" s="71"/>
      <c r="Z103" s="72"/>
      <c r="AA103" s="27"/>
      <c r="AB103" s="72"/>
      <c r="AC103" s="71"/>
      <c r="AD103" s="75"/>
      <c r="AE103" s="26"/>
      <c r="AF103" s="75" t="e">
        <f>AC103*#REF!</f>
        <v>#REF!</v>
      </c>
      <c r="AG103" s="189"/>
      <c r="AH103" s="20"/>
      <c r="AI103" s="84"/>
      <c r="AJ103" s="85"/>
    </row>
    <row r="104" s="1" customFormat="1" ht="18" customHeight="1" spans="1:36">
      <c r="A104" s="67"/>
      <c r="B104" s="67"/>
      <c r="C104" s="69"/>
      <c r="D104" s="69"/>
      <c r="E104" s="69"/>
      <c r="F104" s="67"/>
      <c r="G104" s="67"/>
      <c r="H104" s="67"/>
      <c r="I104" s="20"/>
      <c r="J104" s="25"/>
      <c r="K104" s="71"/>
      <c r="L104" s="72"/>
      <c r="M104" s="71"/>
      <c r="N104" s="82"/>
      <c r="O104" s="71"/>
      <c r="P104" s="91"/>
      <c r="Q104" s="71"/>
      <c r="R104" s="75"/>
      <c r="S104" s="71"/>
      <c r="T104" s="91"/>
      <c r="U104" s="71"/>
      <c r="V104" s="91"/>
      <c r="W104" s="71"/>
      <c r="X104" s="72"/>
      <c r="Y104" s="71"/>
      <c r="Z104" s="72"/>
      <c r="AA104" s="27"/>
      <c r="AB104" s="72"/>
      <c r="AC104" s="71"/>
      <c r="AD104" s="75"/>
      <c r="AE104" s="26"/>
      <c r="AF104" s="75" t="e">
        <f>AC104*#REF!</f>
        <v>#REF!</v>
      </c>
      <c r="AG104" s="189"/>
      <c r="AH104" s="20"/>
      <c r="AI104" s="84"/>
      <c r="AJ104" s="85"/>
    </row>
    <row r="105" s="1" customFormat="1" ht="18" customHeight="1" spans="1:36">
      <c r="A105" s="67"/>
      <c r="B105" s="67"/>
      <c r="C105" s="69"/>
      <c r="D105" s="69"/>
      <c r="E105" s="69"/>
      <c r="F105" s="67"/>
      <c r="G105" s="67"/>
      <c r="H105" s="67"/>
      <c r="I105" s="20"/>
      <c r="J105" s="25"/>
      <c r="K105" s="71"/>
      <c r="L105" s="72"/>
      <c r="M105" s="71"/>
      <c r="N105" s="82"/>
      <c r="O105" s="71"/>
      <c r="P105" s="91"/>
      <c r="Q105" s="71"/>
      <c r="R105" s="75"/>
      <c r="S105" s="71"/>
      <c r="T105" s="91"/>
      <c r="U105" s="71"/>
      <c r="V105" s="91"/>
      <c r="W105" s="71"/>
      <c r="X105" s="72"/>
      <c r="Y105" s="71"/>
      <c r="Z105" s="72"/>
      <c r="AA105" s="27"/>
      <c r="AB105" s="72"/>
      <c r="AC105" s="71"/>
      <c r="AD105" s="75"/>
      <c r="AE105" s="26"/>
      <c r="AF105" s="75" t="e">
        <f>AC105*#REF!</f>
        <v>#REF!</v>
      </c>
      <c r="AG105" s="189"/>
      <c r="AH105" s="20"/>
      <c r="AI105" s="84"/>
      <c r="AJ105" s="85"/>
    </row>
    <row r="106" s="1" customFormat="1" ht="18" customHeight="1" spans="1:36">
      <c r="A106" s="67"/>
      <c r="B106" s="67"/>
      <c r="C106" s="69"/>
      <c r="D106" s="69"/>
      <c r="E106" s="69"/>
      <c r="F106" s="67"/>
      <c r="G106" s="67"/>
      <c r="H106" s="67"/>
      <c r="I106" s="20"/>
      <c r="J106" s="25"/>
      <c r="K106" s="71"/>
      <c r="L106" s="72"/>
      <c r="M106" s="71"/>
      <c r="N106" s="82"/>
      <c r="O106" s="71"/>
      <c r="P106" s="91"/>
      <c r="Q106" s="71"/>
      <c r="R106" s="75"/>
      <c r="S106" s="71"/>
      <c r="T106" s="91"/>
      <c r="U106" s="71"/>
      <c r="V106" s="91"/>
      <c r="W106" s="71"/>
      <c r="X106" s="72"/>
      <c r="Y106" s="71"/>
      <c r="Z106" s="72"/>
      <c r="AA106" s="27"/>
      <c r="AB106" s="72"/>
      <c r="AC106" s="71"/>
      <c r="AD106" s="75"/>
      <c r="AE106" s="26"/>
      <c r="AF106" s="75" t="e">
        <f>AC106*#REF!</f>
        <v>#REF!</v>
      </c>
      <c r="AG106" s="189"/>
      <c r="AH106" s="20"/>
      <c r="AI106" s="84"/>
      <c r="AJ106" s="85"/>
    </row>
    <row r="107" s="1" customFormat="1" ht="18" customHeight="1" spans="1:36">
      <c r="A107" s="67"/>
      <c r="B107" s="67"/>
      <c r="C107" s="69"/>
      <c r="D107" s="69"/>
      <c r="E107" s="69"/>
      <c r="F107" s="67"/>
      <c r="G107" s="67"/>
      <c r="H107" s="67"/>
      <c r="I107" s="20"/>
      <c r="J107" s="25"/>
      <c r="K107" s="71"/>
      <c r="L107" s="72"/>
      <c r="M107" s="71"/>
      <c r="N107" s="82"/>
      <c r="O107" s="71"/>
      <c r="P107" s="91"/>
      <c r="Q107" s="71"/>
      <c r="R107" s="75"/>
      <c r="S107" s="71"/>
      <c r="T107" s="91"/>
      <c r="U107" s="71"/>
      <c r="V107" s="91"/>
      <c r="W107" s="71"/>
      <c r="X107" s="72"/>
      <c r="Y107" s="71"/>
      <c r="Z107" s="72"/>
      <c r="AA107" s="27"/>
      <c r="AB107" s="72"/>
      <c r="AC107" s="71"/>
      <c r="AD107" s="75"/>
      <c r="AE107" s="26"/>
      <c r="AF107" s="75" t="e">
        <f>AC107*#REF!</f>
        <v>#REF!</v>
      </c>
      <c r="AG107" s="189"/>
      <c r="AH107" s="20"/>
      <c r="AI107" s="84"/>
      <c r="AJ107" s="85"/>
    </row>
    <row r="108" s="1" customFormat="1" ht="18" customHeight="1" spans="1:36">
      <c r="A108" s="67"/>
      <c r="B108" s="67"/>
      <c r="C108" s="69"/>
      <c r="D108" s="69"/>
      <c r="E108" s="69"/>
      <c r="F108" s="67"/>
      <c r="G108" s="67"/>
      <c r="H108" s="67"/>
      <c r="I108" s="20"/>
      <c r="J108" s="25"/>
      <c r="K108" s="71"/>
      <c r="L108" s="72"/>
      <c r="M108" s="71"/>
      <c r="N108" s="82"/>
      <c r="O108" s="71"/>
      <c r="P108" s="91"/>
      <c r="Q108" s="71"/>
      <c r="R108" s="75"/>
      <c r="S108" s="71"/>
      <c r="T108" s="91"/>
      <c r="U108" s="71"/>
      <c r="V108" s="91"/>
      <c r="W108" s="71"/>
      <c r="X108" s="72"/>
      <c r="Y108" s="71"/>
      <c r="Z108" s="72"/>
      <c r="AA108" s="27"/>
      <c r="AB108" s="72"/>
      <c r="AC108" s="71"/>
      <c r="AD108" s="75"/>
      <c r="AE108" s="26"/>
      <c r="AF108" s="75" t="e">
        <f>AC108*#REF!</f>
        <v>#REF!</v>
      </c>
      <c r="AG108" s="189"/>
      <c r="AH108" s="20"/>
      <c r="AI108" s="84"/>
      <c r="AJ108" s="85"/>
    </row>
    <row r="109" s="1" customFormat="1" ht="18" customHeight="1" spans="1:36">
      <c r="A109" s="67"/>
      <c r="B109" s="67"/>
      <c r="C109" s="69"/>
      <c r="D109" s="69"/>
      <c r="E109" s="69"/>
      <c r="F109" s="67"/>
      <c r="G109" s="67"/>
      <c r="H109" s="67"/>
      <c r="I109" s="20"/>
      <c r="J109" s="25"/>
      <c r="K109" s="71"/>
      <c r="L109" s="72"/>
      <c r="M109" s="71"/>
      <c r="N109" s="82"/>
      <c r="O109" s="71"/>
      <c r="P109" s="91"/>
      <c r="Q109" s="71"/>
      <c r="R109" s="75"/>
      <c r="S109" s="71"/>
      <c r="T109" s="91"/>
      <c r="U109" s="71"/>
      <c r="V109" s="91"/>
      <c r="W109" s="71"/>
      <c r="X109" s="72"/>
      <c r="Y109" s="71"/>
      <c r="Z109" s="72"/>
      <c r="AA109" s="27"/>
      <c r="AB109" s="72"/>
      <c r="AC109" s="71"/>
      <c r="AD109" s="75"/>
      <c r="AE109" s="26"/>
      <c r="AF109" s="75" t="e">
        <f>AC109*#REF!</f>
        <v>#REF!</v>
      </c>
      <c r="AG109" s="189"/>
      <c r="AH109" s="20"/>
      <c r="AI109" s="84"/>
      <c r="AJ109" s="85"/>
    </row>
    <row r="110" s="1" customFormat="1" ht="18" customHeight="1" spans="1:36">
      <c r="A110" s="67"/>
      <c r="B110" s="67"/>
      <c r="C110" s="69"/>
      <c r="D110" s="69"/>
      <c r="E110" s="69"/>
      <c r="F110" s="67"/>
      <c r="G110" s="67"/>
      <c r="H110" s="67"/>
      <c r="I110" s="20"/>
      <c r="J110" s="25"/>
      <c r="K110" s="71"/>
      <c r="L110" s="72"/>
      <c r="M110" s="71"/>
      <c r="N110" s="82"/>
      <c r="O110" s="71"/>
      <c r="P110" s="91"/>
      <c r="Q110" s="71"/>
      <c r="R110" s="75"/>
      <c r="S110" s="71"/>
      <c r="T110" s="91"/>
      <c r="U110" s="71"/>
      <c r="V110" s="91"/>
      <c r="W110" s="71"/>
      <c r="X110" s="72"/>
      <c r="Y110" s="71"/>
      <c r="Z110" s="72"/>
      <c r="AA110" s="27"/>
      <c r="AB110" s="72"/>
      <c r="AC110" s="71"/>
      <c r="AD110" s="75"/>
      <c r="AE110" s="26"/>
      <c r="AF110" s="75" t="e">
        <f>AC110*#REF!</f>
        <v>#REF!</v>
      </c>
      <c r="AG110" s="189"/>
      <c r="AH110" s="20"/>
      <c r="AI110" s="84"/>
      <c r="AJ110" s="85"/>
    </row>
    <row r="111" s="1" customFormat="1" ht="18" customHeight="1" spans="1:36">
      <c r="A111" s="67"/>
      <c r="B111" s="67"/>
      <c r="C111" s="69"/>
      <c r="D111" s="69"/>
      <c r="E111" s="69"/>
      <c r="F111" s="67"/>
      <c r="G111" s="67"/>
      <c r="H111" s="67"/>
      <c r="I111" s="20"/>
      <c r="J111" s="25"/>
      <c r="K111" s="71"/>
      <c r="L111" s="72"/>
      <c r="M111" s="71"/>
      <c r="N111" s="82"/>
      <c r="O111" s="71"/>
      <c r="P111" s="91"/>
      <c r="Q111" s="71"/>
      <c r="R111" s="75"/>
      <c r="S111" s="71"/>
      <c r="T111" s="91"/>
      <c r="U111" s="71"/>
      <c r="V111" s="91"/>
      <c r="W111" s="71"/>
      <c r="X111" s="72"/>
      <c r="Y111" s="71"/>
      <c r="Z111" s="72"/>
      <c r="AA111" s="27"/>
      <c r="AB111" s="72"/>
      <c r="AC111" s="71"/>
      <c r="AD111" s="75"/>
      <c r="AE111" s="26"/>
      <c r="AF111" s="75" t="e">
        <f>AC111*#REF!</f>
        <v>#REF!</v>
      </c>
      <c r="AG111" s="189"/>
      <c r="AH111" s="20"/>
      <c r="AI111" s="84"/>
      <c r="AJ111" s="85"/>
    </row>
    <row r="112" s="1" customFormat="1" ht="18" customHeight="1" spans="1:36">
      <c r="A112" s="67"/>
      <c r="B112" s="67"/>
      <c r="C112" s="69"/>
      <c r="D112" s="69"/>
      <c r="E112" s="69"/>
      <c r="F112" s="67"/>
      <c r="G112" s="67"/>
      <c r="H112" s="67"/>
      <c r="I112" s="20"/>
      <c r="J112" s="25"/>
      <c r="K112" s="71"/>
      <c r="L112" s="72"/>
      <c r="M112" s="71"/>
      <c r="N112" s="82"/>
      <c r="O112" s="71"/>
      <c r="P112" s="91"/>
      <c r="Q112" s="71"/>
      <c r="R112" s="75"/>
      <c r="S112" s="71"/>
      <c r="T112" s="91"/>
      <c r="U112" s="71"/>
      <c r="V112" s="91"/>
      <c r="W112" s="71"/>
      <c r="X112" s="72"/>
      <c r="Y112" s="71"/>
      <c r="Z112" s="72"/>
      <c r="AA112" s="27"/>
      <c r="AB112" s="72"/>
      <c r="AC112" s="71"/>
      <c r="AD112" s="75"/>
      <c r="AE112" s="26"/>
      <c r="AF112" s="75" t="e">
        <f>AC112*#REF!</f>
        <v>#REF!</v>
      </c>
      <c r="AG112" s="189"/>
      <c r="AH112" s="20"/>
      <c r="AI112" s="84"/>
      <c r="AJ112" s="85"/>
    </row>
    <row r="113" s="1" customFormat="1" ht="18" customHeight="1" spans="1:36">
      <c r="A113" s="67"/>
      <c r="B113" s="67"/>
      <c r="C113" s="69"/>
      <c r="D113" s="69"/>
      <c r="E113" s="69"/>
      <c r="F113" s="67"/>
      <c r="G113" s="67"/>
      <c r="H113" s="67"/>
      <c r="I113" s="20"/>
      <c r="J113" s="25"/>
      <c r="K113" s="71"/>
      <c r="L113" s="72"/>
      <c r="M113" s="71"/>
      <c r="N113" s="82"/>
      <c r="O113" s="71"/>
      <c r="P113" s="91"/>
      <c r="Q113" s="71"/>
      <c r="R113" s="75"/>
      <c r="S113" s="71"/>
      <c r="T113" s="91"/>
      <c r="U113" s="71"/>
      <c r="V113" s="91"/>
      <c r="W113" s="71"/>
      <c r="X113" s="72"/>
      <c r="Y113" s="71"/>
      <c r="Z113" s="72"/>
      <c r="AA113" s="27"/>
      <c r="AB113" s="72"/>
      <c r="AC113" s="71"/>
      <c r="AD113" s="75"/>
      <c r="AE113" s="26"/>
      <c r="AF113" s="75" t="e">
        <f>AC113*#REF!</f>
        <v>#REF!</v>
      </c>
      <c r="AG113" s="189"/>
      <c r="AH113" s="20"/>
      <c r="AI113" s="84"/>
      <c r="AJ113" s="85"/>
    </row>
    <row r="114" s="1" customFormat="1" ht="18" customHeight="1" spans="1:36">
      <c r="A114" s="67"/>
      <c r="B114" s="67"/>
      <c r="C114" s="69"/>
      <c r="D114" s="69"/>
      <c r="E114" s="69"/>
      <c r="F114" s="67"/>
      <c r="G114" s="67"/>
      <c r="H114" s="67"/>
      <c r="I114" s="20"/>
      <c r="J114" s="25"/>
      <c r="K114" s="71"/>
      <c r="L114" s="72"/>
      <c r="M114" s="71"/>
      <c r="N114" s="82"/>
      <c r="O114" s="71"/>
      <c r="P114" s="91"/>
      <c r="Q114" s="71"/>
      <c r="R114" s="75"/>
      <c r="S114" s="71"/>
      <c r="T114" s="91"/>
      <c r="U114" s="71"/>
      <c r="V114" s="91"/>
      <c r="W114" s="71"/>
      <c r="X114" s="72"/>
      <c r="Y114" s="71"/>
      <c r="Z114" s="72"/>
      <c r="AA114" s="27"/>
      <c r="AB114" s="72"/>
      <c r="AC114" s="71"/>
      <c r="AD114" s="75"/>
      <c r="AE114" s="26"/>
      <c r="AF114" s="75" t="e">
        <f>AC114*#REF!</f>
        <v>#REF!</v>
      </c>
      <c r="AG114" s="189"/>
      <c r="AH114" s="20"/>
      <c r="AI114" s="84"/>
      <c r="AJ114" s="85"/>
    </row>
    <row r="115" s="1" customFormat="1" ht="18" customHeight="1" spans="1:36">
      <c r="A115" s="67"/>
      <c r="B115" s="67"/>
      <c r="C115" s="69"/>
      <c r="D115" s="69"/>
      <c r="E115" s="69"/>
      <c r="F115" s="67"/>
      <c r="G115" s="67"/>
      <c r="H115" s="67"/>
      <c r="I115" s="20"/>
      <c r="J115" s="25"/>
      <c r="K115" s="71"/>
      <c r="L115" s="72"/>
      <c r="M115" s="71"/>
      <c r="N115" s="82"/>
      <c r="O115" s="71"/>
      <c r="P115" s="91"/>
      <c r="Q115" s="71"/>
      <c r="R115" s="75"/>
      <c r="S115" s="71"/>
      <c r="T115" s="91"/>
      <c r="U115" s="71"/>
      <c r="V115" s="91"/>
      <c r="W115" s="71"/>
      <c r="X115" s="72"/>
      <c r="Y115" s="71"/>
      <c r="Z115" s="72"/>
      <c r="AA115" s="27"/>
      <c r="AB115" s="72"/>
      <c r="AC115" s="71"/>
      <c r="AD115" s="75"/>
      <c r="AE115" s="26"/>
      <c r="AF115" s="75" t="e">
        <f>AC115*#REF!</f>
        <v>#REF!</v>
      </c>
      <c r="AG115" s="189"/>
      <c r="AH115" s="20"/>
      <c r="AI115" s="84"/>
      <c r="AJ115" s="85"/>
    </row>
    <row r="116" s="1" customFormat="1" ht="18" customHeight="1" spans="1:36">
      <c r="A116" s="67"/>
      <c r="B116" s="67"/>
      <c r="C116" s="69"/>
      <c r="D116" s="69"/>
      <c r="E116" s="69"/>
      <c r="F116" s="67"/>
      <c r="G116" s="67"/>
      <c r="H116" s="67"/>
      <c r="I116" s="20"/>
      <c r="J116" s="25"/>
      <c r="K116" s="71"/>
      <c r="L116" s="72"/>
      <c r="M116" s="71"/>
      <c r="N116" s="82"/>
      <c r="O116" s="71"/>
      <c r="P116" s="91"/>
      <c r="Q116" s="71"/>
      <c r="R116" s="75"/>
      <c r="S116" s="71"/>
      <c r="T116" s="91"/>
      <c r="U116" s="71"/>
      <c r="V116" s="91"/>
      <c r="W116" s="71"/>
      <c r="X116" s="72"/>
      <c r="Y116" s="71"/>
      <c r="Z116" s="72"/>
      <c r="AA116" s="27"/>
      <c r="AB116" s="72"/>
      <c r="AC116" s="71"/>
      <c r="AD116" s="75"/>
      <c r="AE116" s="26"/>
      <c r="AF116" s="75" t="e">
        <f>AC116*#REF!</f>
        <v>#REF!</v>
      </c>
      <c r="AG116" s="189"/>
      <c r="AH116" s="20"/>
      <c r="AI116" s="84"/>
      <c r="AJ116" s="85"/>
    </row>
    <row r="117" s="1" customFormat="1" ht="18" customHeight="1" spans="1:36">
      <c r="A117" s="67"/>
      <c r="B117" s="67"/>
      <c r="C117" s="69"/>
      <c r="D117" s="69"/>
      <c r="E117" s="69"/>
      <c r="F117" s="67"/>
      <c r="G117" s="67"/>
      <c r="H117" s="67"/>
      <c r="I117" s="20"/>
      <c r="J117" s="25"/>
      <c r="K117" s="71"/>
      <c r="L117" s="72"/>
      <c r="M117" s="71"/>
      <c r="N117" s="82"/>
      <c r="O117" s="71"/>
      <c r="P117" s="91"/>
      <c r="Q117" s="71"/>
      <c r="R117" s="75"/>
      <c r="S117" s="71"/>
      <c r="T117" s="91"/>
      <c r="U117" s="71"/>
      <c r="V117" s="91"/>
      <c r="W117" s="71"/>
      <c r="X117" s="72"/>
      <c r="Y117" s="71"/>
      <c r="Z117" s="72"/>
      <c r="AA117" s="27"/>
      <c r="AB117" s="72"/>
      <c r="AC117" s="71"/>
      <c r="AD117" s="75"/>
      <c r="AE117" s="26"/>
      <c r="AF117" s="75" t="e">
        <f>AC117*#REF!</f>
        <v>#REF!</v>
      </c>
      <c r="AG117" s="189"/>
      <c r="AH117" s="20"/>
      <c r="AI117" s="84"/>
      <c r="AJ117" s="85"/>
    </row>
    <row r="118" s="1" customFormat="1" ht="18" customHeight="1" spans="1:36">
      <c r="A118" s="67"/>
      <c r="B118" s="67"/>
      <c r="C118" s="69"/>
      <c r="D118" s="69"/>
      <c r="E118" s="69"/>
      <c r="F118" s="67"/>
      <c r="G118" s="67"/>
      <c r="H118" s="67"/>
      <c r="I118" s="20"/>
      <c r="J118" s="25"/>
      <c r="K118" s="71"/>
      <c r="L118" s="72"/>
      <c r="M118" s="71"/>
      <c r="N118" s="82"/>
      <c r="O118" s="71"/>
      <c r="P118" s="91"/>
      <c r="Q118" s="71"/>
      <c r="R118" s="75"/>
      <c r="S118" s="71"/>
      <c r="T118" s="91"/>
      <c r="U118" s="71"/>
      <c r="V118" s="91"/>
      <c r="W118" s="71"/>
      <c r="X118" s="72"/>
      <c r="Y118" s="71"/>
      <c r="Z118" s="72"/>
      <c r="AA118" s="27"/>
      <c r="AB118" s="72"/>
      <c r="AC118" s="71"/>
      <c r="AD118" s="75"/>
      <c r="AE118" s="26"/>
      <c r="AF118" s="75" t="e">
        <f>AC118*#REF!</f>
        <v>#REF!</v>
      </c>
      <c r="AG118" s="189"/>
      <c r="AH118" s="20"/>
      <c r="AI118" s="84"/>
      <c r="AJ118" s="85"/>
    </row>
    <row r="119" s="1" customFormat="1" ht="18" customHeight="1" spans="1:36">
      <c r="A119" s="67"/>
      <c r="B119" s="67"/>
      <c r="C119" s="69"/>
      <c r="D119" s="69"/>
      <c r="E119" s="69"/>
      <c r="F119" s="67"/>
      <c r="G119" s="67"/>
      <c r="H119" s="67"/>
      <c r="I119" s="20"/>
      <c r="J119" s="25"/>
      <c r="K119" s="71"/>
      <c r="L119" s="72"/>
      <c r="M119" s="71"/>
      <c r="N119" s="82"/>
      <c r="O119" s="71"/>
      <c r="P119" s="91"/>
      <c r="Q119" s="71"/>
      <c r="R119" s="75"/>
      <c r="S119" s="71"/>
      <c r="T119" s="91"/>
      <c r="U119" s="71"/>
      <c r="V119" s="91"/>
      <c r="W119" s="71"/>
      <c r="X119" s="72"/>
      <c r="Y119" s="71"/>
      <c r="Z119" s="72"/>
      <c r="AA119" s="27"/>
      <c r="AB119" s="72"/>
      <c r="AC119" s="71"/>
      <c r="AD119" s="75"/>
      <c r="AE119" s="26"/>
      <c r="AF119" s="75" t="e">
        <f>AC119*#REF!</f>
        <v>#REF!</v>
      </c>
      <c r="AG119" s="189"/>
      <c r="AH119" s="20"/>
      <c r="AI119" s="84"/>
      <c r="AJ119" s="85"/>
    </row>
    <row r="120" s="1" customFormat="1" ht="18" customHeight="1" spans="1:36">
      <c r="A120" s="67"/>
      <c r="B120" s="67"/>
      <c r="C120" s="69"/>
      <c r="D120" s="69"/>
      <c r="E120" s="69"/>
      <c r="F120" s="67"/>
      <c r="G120" s="67"/>
      <c r="H120" s="67"/>
      <c r="I120" s="20"/>
      <c r="J120" s="25"/>
      <c r="K120" s="71"/>
      <c r="L120" s="72"/>
      <c r="M120" s="71"/>
      <c r="N120" s="82"/>
      <c r="O120" s="71"/>
      <c r="P120" s="91"/>
      <c r="Q120" s="71"/>
      <c r="R120" s="75"/>
      <c r="S120" s="71"/>
      <c r="T120" s="91"/>
      <c r="U120" s="71"/>
      <c r="V120" s="91"/>
      <c r="W120" s="71"/>
      <c r="X120" s="72"/>
      <c r="Y120" s="71"/>
      <c r="Z120" s="72"/>
      <c r="AA120" s="27"/>
      <c r="AB120" s="72"/>
      <c r="AC120" s="71"/>
      <c r="AD120" s="75"/>
      <c r="AE120" s="26"/>
      <c r="AF120" s="75" t="e">
        <f>AC120*#REF!</f>
        <v>#REF!</v>
      </c>
      <c r="AG120" s="189"/>
      <c r="AH120" s="20"/>
      <c r="AI120" s="84"/>
      <c r="AJ120" s="85"/>
    </row>
    <row r="121" s="1" customFormat="1" ht="18" customHeight="1" spans="1:36">
      <c r="A121" s="67"/>
      <c r="B121" s="67"/>
      <c r="C121" s="69"/>
      <c r="D121" s="69"/>
      <c r="E121" s="69"/>
      <c r="F121" s="67"/>
      <c r="G121" s="67"/>
      <c r="H121" s="67"/>
      <c r="I121" s="20"/>
      <c r="J121" s="25"/>
      <c r="K121" s="71"/>
      <c r="L121" s="72"/>
      <c r="M121" s="71"/>
      <c r="N121" s="82"/>
      <c r="O121" s="71"/>
      <c r="P121" s="91"/>
      <c r="Q121" s="71"/>
      <c r="R121" s="75"/>
      <c r="S121" s="71"/>
      <c r="T121" s="91"/>
      <c r="U121" s="71"/>
      <c r="V121" s="91"/>
      <c r="W121" s="71"/>
      <c r="X121" s="72"/>
      <c r="Y121" s="71"/>
      <c r="Z121" s="72"/>
      <c r="AA121" s="27"/>
      <c r="AB121" s="72"/>
      <c r="AC121" s="71"/>
      <c r="AD121" s="75"/>
      <c r="AE121" s="26"/>
      <c r="AF121" s="75" t="e">
        <f>AC121*#REF!</f>
        <v>#REF!</v>
      </c>
      <c r="AG121" s="189"/>
      <c r="AH121" s="20"/>
      <c r="AI121" s="84"/>
      <c r="AJ121" s="85"/>
    </row>
    <row r="122" s="1" customFormat="1" ht="18" customHeight="1" spans="1:36">
      <c r="A122" s="67"/>
      <c r="B122" s="67"/>
      <c r="C122" s="69"/>
      <c r="D122" s="69"/>
      <c r="E122" s="69"/>
      <c r="F122" s="67"/>
      <c r="G122" s="67"/>
      <c r="H122" s="67"/>
      <c r="I122" s="20"/>
      <c r="J122" s="25"/>
      <c r="K122" s="71"/>
      <c r="L122" s="72"/>
      <c r="M122" s="71"/>
      <c r="N122" s="82"/>
      <c r="O122" s="71"/>
      <c r="P122" s="91"/>
      <c r="Q122" s="71"/>
      <c r="R122" s="75"/>
      <c r="S122" s="71"/>
      <c r="T122" s="91"/>
      <c r="U122" s="71"/>
      <c r="V122" s="91"/>
      <c r="W122" s="71"/>
      <c r="X122" s="72"/>
      <c r="Y122" s="71"/>
      <c r="Z122" s="72"/>
      <c r="AA122" s="27"/>
      <c r="AB122" s="72"/>
      <c r="AC122" s="71"/>
      <c r="AD122" s="75"/>
      <c r="AE122" s="26"/>
      <c r="AF122" s="75" t="e">
        <f>AC122*#REF!</f>
        <v>#REF!</v>
      </c>
      <c r="AG122" s="189"/>
      <c r="AH122" s="20"/>
      <c r="AI122" s="84"/>
      <c r="AJ122" s="85"/>
    </row>
    <row r="123" s="1" customFormat="1" ht="18" customHeight="1" spans="1:36">
      <c r="A123" s="67"/>
      <c r="B123" s="67"/>
      <c r="C123" s="69"/>
      <c r="D123" s="69"/>
      <c r="E123" s="69"/>
      <c r="F123" s="67"/>
      <c r="G123" s="67"/>
      <c r="H123" s="67"/>
      <c r="I123" s="20"/>
      <c r="J123" s="25"/>
      <c r="K123" s="71"/>
      <c r="L123" s="72"/>
      <c r="M123" s="71"/>
      <c r="N123" s="82"/>
      <c r="O123" s="71"/>
      <c r="P123" s="91"/>
      <c r="Q123" s="71"/>
      <c r="R123" s="75"/>
      <c r="S123" s="71"/>
      <c r="T123" s="91"/>
      <c r="U123" s="71"/>
      <c r="V123" s="91"/>
      <c r="W123" s="71"/>
      <c r="X123" s="72"/>
      <c r="Y123" s="71"/>
      <c r="Z123" s="72"/>
      <c r="AA123" s="27"/>
      <c r="AB123" s="72"/>
      <c r="AC123" s="71"/>
      <c r="AD123" s="75"/>
      <c r="AE123" s="26"/>
      <c r="AF123" s="75" t="e">
        <f>AC123*#REF!</f>
        <v>#REF!</v>
      </c>
      <c r="AG123" s="189"/>
      <c r="AH123" s="20"/>
      <c r="AI123" s="84"/>
      <c r="AJ123" s="85"/>
    </row>
    <row r="124" s="1" customFormat="1" ht="18" customHeight="1" spans="1:36">
      <c r="A124" s="67"/>
      <c r="B124" s="67"/>
      <c r="C124" s="69"/>
      <c r="D124" s="69"/>
      <c r="E124" s="69"/>
      <c r="F124" s="67"/>
      <c r="G124" s="67"/>
      <c r="H124" s="67"/>
      <c r="I124" s="20"/>
      <c r="J124" s="25"/>
      <c r="K124" s="71"/>
      <c r="L124" s="72"/>
      <c r="M124" s="71"/>
      <c r="N124" s="82"/>
      <c r="O124" s="71"/>
      <c r="P124" s="91"/>
      <c r="Q124" s="71"/>
      <c r="R124" s="75"/>
      <c r="S124" s="71"/>
      <c r="T124" s="91"/>
      <c r="U124" s="71"/>
      <c r="V124" s="91"/>
      <c r="W124" s="71"/>
      <c r="X124" s="72"/>
      <c r="Y124" s="71"/>
      <c r="Z124" s="72"/>
      <c r="AA124" s="27"/>
      <c r="AB124" s="72"/>
      <c r="AC124" s="71"/>
      <c r="AD124" s="75"/>
      <c r="AE124" s="26"/>
      <c r="AF124" s="75" t="e">
        <f>AC124*#REF!</f>
        <v>#REF!</v>
      </c>
      <c r="AG124" s="189"/>
      <c r="AH124" s="20"/>
      <c r="AI124" s="84"/>
      <c r="AJ124" s="85"/>
    </row>
    <row r="125" s="1" customFormat="1" ht="18" customHeight="1" spans="1:36">
      <c r="A125" s="67"/>
      <c r="B125" s="67"/>
      <c r="C125" s="69"/>
      <c r="D125" s="69"/>
      <c r="E125" s="69"/>
      <c r="F125" s="67"/>
      <c r="G125" s="67"/>
      <c r="H125" s="67"/>
      <c r="I125" s="20"/>
      <c r="J125" s="25"/>
      <c r="K125" s="71"/>
      <c r="L125" s="72"/>
      <c r="M125" s="71"/>
      <c r="N125" s="82"/>
      <c r="O125" s="71"/>
      <c r="P125" s="91"/>
      <c r="Q125" s="71"/>
      <c r="R125" s="75"/>
      <c r="S125" s="71"/>
      <c r="T125" s="91"/>
      <c r="U125" s="71"/>
      <c r="V125" s="91"/>
      <c r="W125" s="71"/>
      <c r="X125" s="72"/>
      <c r="Y125" s="71"/>
      <c r="Z125" s="72"/>
      <c r="AA125" s="27"/>
      <c r="AB125" s="72"/>
      <c r="AC125" s="71"/>
      <c r="AD125" s="75"/>
      <c r="AE125" s="26"/>
      <c r="AF125" s="75" t="e">
        <f>AC125*#REF!</f>
        <v>#REF!</v>
      </c>
      <c r="AG125" s="189"/>
      <c r="AH125" s="20"/>
      <c r="AI125" s="84"/>
      <c r="AJ125" s="85"/>
    </row>
    <row r="126" s="1" customFormat="1" ht="16.5" spans="1:36">
      <c r="A126" s="176"/>
      <c r="B126" s="176"/>
      <c r="C126" s="177"/>
      <c r="D126" s="177"/>
      <c r="E126" s="177"/>
      <c r="F126" s="176"/>
      <c r="G126" s="176"/>
      <c r="H126" s="176"/>
      <c r="J126" s="178"/>
      <c r="K126" s="179"/>
      <c r="L126" s="180"/>
      <c r="M126" s="179"/>
      <c r="N126" s="181"/>
      <c r="O126" s="179"/>
      <c r="P126" s="182"/>
      <c r="Q126" s="179"/>
      <c r="R126" s="183"/>
      <c r="S126" s="179"/>
      <c r="T126" s="182"/>
      <c r="U126" s="179"/>
      <c r="V126" s="182"/>
      <c r="W126" s="179"/>
      <c r="X126" s="180"/>
      <c r="Y126" s="179"/>
      <c r="Z126" s="72"/>
      <c r="AA126" s="184"/>
      <c r="AB126" s="180"/>
      <c r="AC126" s="179"/>
      <c r="AD126" s="183"/>
      <c r="AE126" s="185"/>
      <c r="AF126" s="183"/>
      <c r="AG126" s="191"/>
      <c r="AI126" s="187"/>
      <c r="AJ126" s="85"/>
    </row>
    <row r="127" s="1" customFormat="1" spans="1:36">
      <c r="A127" s="176"/>
      <c r="B127" s="176"/>
      <c r="C127" s="177"/>
      <c r="D127" s="177"/>
      <c r="E127" s="177"/>
      <c r="F127" s="176"/>
      <c r="G127" s="176"/>
      <c r="H127" s="176"/>
      <c r="J127" s="178"/>
      <c r="K127" s="179"/>
      <c r="L127" s="180"/>
      <c r="M127" s="179"/>
      <c r="N127" s="181"/>
      <c r="O127" s="179"/>
      <c r="P127" s="182"/>
      <c r="Q127" s="179"/>
      <c r="R127" s="183"/>
      <c r="S127" s="179"/>
      <c r="T127" s="182"/>
      <c r="U127" s="179"/>
      <c r="V127" s="182"/>
      <c r="W127" s="179"/>
      <c r="X127" s="180"/>
      <c r="Y127" s="179"/>
      <c r="Z127" s="180"/>
      <c r="AA127" s="184"/>
      <c r="AB127" s="180"/>
      <c r="AC127" s="179"/>
      <c r="AD127" s="183"/>
      <c r="AE127" s="185"/>
      <c r="AF127" s="183"/>
      <c r="AG127" s="191"/>
      <c r="AI127" s="187"/>
      <c r="AJ127" s="85"/>
    </row>
    <row r="128" s="1" customFormat="1" spans="1:36">
      <c r="A128" s="176"/>
      <c r="B128" s="176"/>
      <c r="C128" s="177"/>
      <c r="D128" s="177"/>
      <c r="E128" s="177"/>
      <c r="F128" s="176"/>
      <c r="G128" s="176"/>
      <c r="H128" s="176"/>
      <c r="J128" s="178"/>
      <c r="K128" s="179"/>
      <c r="L128" s="180"/>
      <c r="M128" s="179"/>
      <c r="N128" s="181"/>
      <c r="O128" s="179"/>
      <c r="P128" s="182"/>
      <c r="Q128" s="179"/>
      <c r="R128" s="183"/>
      <c r="S128" s="179"/>
      <c r="T128" s="182"/>
      <c r="U128" s="179"/>
      <c r="V128" s="182"/>
      <c r="W128" s="179"/>
      <c r="X128" s="180"/>
      <c r="Y128" s="179"/>
      <c r="Z128" s="180"/>
      <c r="AA128" s="184"/>
      <c r="AB128" s="180"/>
      <c r="AC128" s="179"/>
      <c r="AD128" s="183"/>
      <c r="AE128" s="185"/>
      <c r="AF128" s="183"/>
      <c r="AG128" s="191"/>
      <c r="AI128" s="187"/>
      <c r="AJ128" s="85"/>
    </row>
    <row r="129" s="1" customFormat="1" spans="1:36">
      <c r="A129" s="176"/>
      <c r="B129" s="176"/>
      <c r="C129" s="177"/>
      <c r="D129" s="177"/>
      <c r="E129" s="177"/>
      <c r="F129" s="176"/>
      <c r="G129" s="176"/>
      <c r="H129" s="176"/>
      <c r="J129" s="178"/>
      <c r="K129" s="179"/>
      <c r="L129" s="180"/>
      <c r="M129" s="179"/>
      <c r="N129" s="181"/>
      <c r="O129" s="179"/>
      <c r="P129" s="182"/>
      <c r="Q129" s="179"/>
      <c r="R129" s="183"/>
      <c r="S129" s="179"/>
      <c r="T129" s="182"/>
      <c r="U129" s="179"/>
      <c r="V129" s="182"/>
      <c r="W129" s="179"/>
      <c r="X129" s="180"/>
      <c r="Y129" s="179"/>
      <c r="Z129" s="180"/>
      <c r="AA129" s="184"/>
      <c r="AB129" s="180"/>
      <c r="AC129" s="179"/>
      <c r="AD129" s="183"/>
      <c r="AE129" s="185"/>
      <c r="AF129" s="183"/>
      <c r="AG129" s="191"/>
      <c r="AI129" s="187"/>
      <c r="AJ129" s="85"/>
    </row>
    <row r="130" s="1" customFormat="1" spans="1:36">
      <c r="A130" s="176"/>
      <c r="B130" s="176"/>
      <c r="C130" s="177"/>
      <c r="D130" s="177"/>
      <c r="E130" s="177"/>
      <c r="F130" s="176"/>
      <c r="G130" s="176"/>
      <c r="H130" s="176"/>
      <c r="J130" s="178"/>
      <c r="K130" s="179"/>
      <c r="L130" s="180"/>
      <c r="M130" s="179"/>
      <c r="N130" s="181"/>
      <c r="O130" s="179"/>
      <c r="P130" s="182"/>
      <c r="Q130" s="179"/>
      <c r="R130" s="183"/>
      <c r="S130" s="179"/>
      <c r="T130" s="182"/>
      <c r="U130" s="179"/>
      <c r="V130" s="182"/>
      <c r="W130" s="179"/>
      <c r="X130" s="180"/>
      <c r="Y130" s="179"/>
      <c r="Z130" s="180"/>
      <c r="AA130" s="184"/>
      <c r="AB130" s="180"/>
      <c r="AC130" s="179"/>
      <c r="AD130" s="183"/>
      <c r="AE130" s="185"/>
      <c r="AF130" s="183"/>
      <c r="AG130" s="191"/>
      <c r="AI130" s="187"/>
      <c r="AJ130" s="85"/>
    </row>
    <row r="131" s="1" customFormat="1" spans="1:36">
      <c r="A131" s="176"/>
      <c r="B131" s="176"/>
      <c r="C131" s="177"/>
      <c r="D131" s="177"/>
      <c r="E131" s="177"/>
      <c r="F131" s="176"/>
      <c r="G131" s="176"/>
      <c r="H131" s="176"/>
      <c r="J131" s="178"/>
      <c r="K131" s="179"/>
      <c r="L131" s="180"/>
      <c r="M131" s="179"/>
      <c r="N131" s="181"/>
      <c r="O131" s="179"/>
      <c r="P131" s="182"/>
      <c r="Q131" s="179"/>
      <c r="R131" s="183"/>
      <c r="S131" s="179"/>
      <c r="T131" s="182"/>
      <c r="U131" s="179"/>
      <c r="V131" s="182"/>
      <c r="W131" s="179"/>
      <c r="X131" s="180"/>
      <c r="Y131" s="179"/>
      <c r="Z131" s="180"/>
      <c r="AA131" s="184"/>
      <c r="AB131" s="180"/>
      <c r="AC131" s="179"/>
      <c r="AD131" s="183"/>
      <c r="AE131" s="185"/>
      <c r="AF131" s="183"/>
      <c r="AG131" s="191"/>
      <c r="AI131" s="187"/>
      <c r="AJ131" s="85"/>
    </row>
    <row r="132" s="1" customFormat="1" spans="1:36">
      <c r="A132" s="176"/>
      <c r="B132" s="176"/>
      <c r="C132" s="177"/>
      <c r="D132" s="177"/>
      <c r="E132" s="177"/>
      <c r="F132" s="176"/>
      <c r="G132" s="176"/>
      <c r="H132" s="176"/>
      <c r="J132" s="178"/>
      <c r="K132" s="179"/>
      <c r="L132" s="180"/>
      <c r="M132" s="179"/>
      <c r="N132" s="181"/>
      <c r="O132" s="179"/>
      <c r="P132" s="182"/>
      <c r="Q132" s="179"/>
      <c r="R132" s="183"/>
      <c r="S132" s="179"/>
      <c r="T132" s="182"/>
      <c r="U132" s="179"/>
      <c r="V132" s="182"/>
      <c r="W132" s="179"/>
      <c r="X132" s="180"/>
      <c r="Y132" s="179"/>
      <c r="Z132" s="180"/>
      <c r="AA132" s="184"/>
      <c r="AB132" s="180"/>
      <c r="AC132" s="179"/>
      <c r="AD132" s="183"/>
      <c r="AE132" s="185"/>
      <c r="AF132" s="183"/>
      <c r="AG132" s="191"/>
      <c r="AI132" s="187"/>
      <c r="AJ132" s="85"/>
    </row>
    <row r="133" s="1" customFormat="1" spans="1:36">
      <c r="A133" s="176"/>
      <c r="B133" s="176"/>
      <c r="C133" s="177"/>
      <c r="D133" s="177"/>
      <c r="E133" s="177"/>
      <c r="F133" s="176"/>
      <c r="G133" s="176"/>
      <c r="H133" s="176"/>
      <c r="J133" s="178"/>
      <c r="K133" s="179"/>
      <c r="L133" s="180"/>
      <c r="M133" s="179"/>
      <c r="N133" s="181"/>
      <c r="O133" s="179"/>
      <c r="P133" s="182"/>
      <c r="Q133" s="179"/>
      <c r="R133" s="183"/>
      <c r="S133" s="179"/>
      <c r="T133" s="182"/>
      <c r="U133" s="179"/>
      <c r="V133" s="182"/>
      <c r="W133" s="179"/>
      <c r="X133" s="180"/>
      <c r="Y133" s="179"/>
      <c r="Z133" s="180"/>
      <c r="AA133" s="184"/>
      <c r="AB133" s="180"/>
      <c r="AC133" s="179"/>
      <c r="AD133" s="183"/>
      <c r="AE133" s="185"/>
      <c r="AF133" s="183"/>
      <c r="AG133" s="191"/>
      <c r="AI133" s="187"/>
      <c r="AJ133" s="85"/>
    </row>
    <row r="134" s="1" customFormat="1" spans="1:36">
      <c r="A134" s="176"/>
      <c r="B134" s="176"/>
      <c r="C134" s="177"/>
      <c r="D134" s="177"/>
      <c r="E134" s="177"/>
      <c r="F134" s="176"/>
      <c r="G134" s="176"/>
      <c r="H134" s="176"/>
      <c r="J134" s="178"/>
      <c r="K134" s="179"/>
      <c r="L134" s="180"/>
      <c r="M134" s="179"/>
      <c r="N134" s="181"/>
      <c r="O134" s="179"/>
      <c r="P134" s="182"/>
      <c r="Q134" s="179"/>
      <c r="R134" s="183"/>
      <c r="S134" s="179"/>
      <c r="T134" s="182"/>
      <c r="U134" s="179"/>
      <c r="V134" s="182"/>
      <c r="W134" s="179"/>
      <c r="X134" s="180"/>
      <c r="Y134" s="179"/>
      <c r="Z134" s="180"/>
      <c r="AA134" s="184"/>
      <c r="AB134" s="180"/>
      <c r="AC134" s="179"/>
      <c r="AD134" s="183"/>
      <c r="AE134" s="185"/>
      <c r="AF134" s="183"/>
      <c r="AG134" s="191"/>
      <c r="AI134" s="187"/>
      <c r="AJ134" s="85"/>
    </row>
    <row r="135" s="1" customFormat="1" spans="1:36">
      <c r="A135" s="176"/>
      <c r="B135" s="176"/>
      <c r="C135" s="177"/>
      <c r="D135" s="177"/>
      <c r="E135" s="177"/>
      <c r="F135" s="176"/>
      <c r="G135" s="176"/>
      <c r="H135" s="176"/>
      <c r="J135" s="178"/>
      <c r="K135" s="179"/>
      <c r="L135" s="180"/>
      <c r="M135" s="179"/>
      <c r="N135" s="181"/>
      <c r="O135" s="179"/>
      <c r="P135" s="182"/>
      <c r="Q135" s="179"/>
      <c r="R135" s="183"/>
      <c r="S135" s="179"/>
      <c r="T135" s="182"/>
      <c r="U135" s="179"/>
      <c r="V135" s="182"/>
      <c r="W135" s="179"/>
      <c r="X135" s="180"/>
      <c r="Y135" s="179"/>
      <c r="Z135" s="180"/>
      <c r="AA135" s="184"/>
      <c r="AB135" s="180"/>
      <c r="AC135" s="179"/>
      <c r="AD135" s="183"/>
      <c r="AE135" s="185"/>
      <c r="AF135" s="183"/>
      <c r="AG135" s="191"/>
      <c r="AI135" s="187"/>
      <c r="AJ135" s="85"/>
    </row>
    <row r="136" s="1" customFormat="1" spans="1:36">
      <c r="A136" s="176"/>
      <c r="B136" s="176"/>
      <c r="C136" s="177"/>
      <c r="D136" s="177"/>
      <c r="E136" s="177"/>
      <c r="F136" s="176"/>
      <c r="G136" s="176"/>
      <c r="H136" s="176"/>
      <c r="J136" s="178"/>
      <c r="K136" s="179"/>
      <c r="L136" s="180"/>
      <c r="M136" s="179"/>
      <c r="N136" s="181"/>
      <c r="O136" s="179"/>
      <c r="P136" s="182"/>
      <c r="Q136" s="179"/>
      <c r="R136" s="183"/>
      <c r="S136" s="179"/>
      <c r="T136" s="182"/>
      <c r="U136" s="179"/>
      <c r="V136" s="182"/>
      <c r="W136" s="179"/>
      <c r="X136" s="180"/>
      <c r="Y136" s="179"/>
      <c r="Z136" s="180"/>
      <c r="AA136" s="184"/>
      <c r="AB136" s="180"/>
      <c r="AC136" s="179"/>
      <c r="AD136" s="183"/>
      <c r="AE136" s="185"/>
      <c r="AF136" s="183"/>
      <c r="AG136" s="191"/>
      <c r="AI136" s="187"/>
      <c r="AJ136" s="85"/>
    </row>
    <row r="137" s="1" customFormat="1" spans="1:36">
      <c r="A137" s="176"/>
      <c r="B137" s="176"/>
      <c r="C137" s="177"/>
      <c r="D137" s="177"/>
      <c r="E137" s="177"/>
      <c r="F137" s="176"/>
      <c r="G137" s="176"/>
      <c r="H137" s="176"/>
      <c r="J137" s="178"/>
      <c r="K137" s="179"/>
      <c r="L137" s="180"/>
      <c r="M137" s="179"/>
      <c r="N137" s="181"/>
      <c r="O137" s="179"/>
      <c r="P137" s="182"/>
      <c r="Q137" s="179"/>
      <c r="R137" s="183"/>
      <c r="S137" s="179"/>
      <c r="T137" s="182"/>
      <c r="U137" s="179"/>
      <c r="V137" s="182"/>
      <c r="W137" s="179"/>
      <c r="X137" s="180"/>
      <c r="Y137" s="179"/>
      <c r="Z137" s="180"/>
      <c r="AA137" s="184"/>
      <c r="AB137" s="180"/>
      <c r="AC137" s="179"/>
      <c r="AD137" s="183"/>
      <c r="AE137" s="185"/>
      <c r="AF137" s="183"/>
      <c r="AG137" s="191"/>
      <c r="AI137" s="187"/>
      <c r="AJ137" s="85"/>
    </row>
    <row r="138" s="1" customFormat="1" spans="1:36">
      <c r="A138" s="176"/>
      <c r="B138" s="176"/>
      <c r="C138" s="177"/>
      <c r="D138" s="177"/>
      <c r="E138" s="177"/>
      <c r="F138" s="176"/>
      <c r="G138" s="176"/>
      <c r="H138" s="176"/>
      <c r="J138" s="178"/>
      <c r="K138" s="179"/>
      <c r="L138" s="180"/>
      <c r="M138" s="179"/>
      <c r="N138" s="181"/>
      <c r="O138" s="179"/>
      <c r="P138" s="182"/>
      <c r="Q138" s="179"/>
      <c r="R138" s="183"/>
      <c r="S138" s="179"/>
      <c r="T138" s="182"/>
      <c r="U138" s="179"/>
      <c r="V138" s="182"/>
      <c r="W138" s="179"/>
      <c r="X138" s="180"/>
      <c r="Y138" s="179"/>
      <c r="Z138" s="180"/>
      <c r="AA138" s="184"/>
      <c r="AB138" s="180"/>
      <c r="AC138" s="179"/>
      <c r="AD138" s="183"/>
      <c r="AE138" s="185"/>
      <c r="AF138" s="183"/>
      <c r="AG138" s="191"/>
      <c r="AI138" s="187"/>
      <c r="AJ138" s="85"/>
    </row>
    <row r="139" s="1" customFormat="1" spans="1:36">
      <c r="A139" s="176"/>
      <c r="B139" s="176"/>
      <c r="C139" s="177"/>
      <c r="D139" s="177"/>
      <c r="E139" s="177"/>
      <c r="F139" s="176"/>
      <c r="G139" s="176"/>
      <c r="H139" s="176"/>
      <c r="J139" s="178"/>
      <c r="K139" s="179"/>
      <c r="L139" s="180"/>
      <c r="M139" s="179"/>
      <c r="N139" s="181"/>
      <c r="O139" s="179"/>
      <c r="P139" s="182"/>
      <c r="Q139" s="179"/>
      <c r="R139" s="183"/>
      <c r="S139" s="179"/>
      <c r="T139" s="182"/>
      <c r="U139" s="179"/>
      <c r="V139" s="182"/>
      <c r="W139" s="179"/>
      <c r="X139" s="180"/>
      <c r="Y139" s="179"/>
      <c r="Z139" s="180"/>
      <c r="AA139" s="184"/>
      <c r="AB139" s="180"/>
      <c r="AC139" s="179"/>
      <c r="AD139" s="183"/>
      <c r="AE139" s="185"/>
      <c r="AF139" s="183"/>
      <c r="AG139" s="191"/>
      <c r="AI139" s="187"/>
      <c r="AJ139" s="85"/>
    </row>
    <row r="140" s="1" customFormat="1" spans="1:36">
      <c r="A140" s="176"/>
      <c r="B140" s="176"/>
      <c r="C140" s="177"/>
      <c r="D140" s="177"/>
      <c r="E140" s="177"/>
      <c r="F140" s="176"/>
      <c r="G140" s="176"/>
      <c r="H140" s="176"/>
      <c r="J140" s="178"/>
      <c r="K140" s="179"/>
      <c r="L140" s="180"/>
      <c r="M140" s="179"/>
      <c r="N140" s="181"/>
      <c r="O140" s="179"/>
      <c r="P140" s="182"/>
      <c r="Q140" s="179"/>
      <c r="R140" s="183"/>
      <c r="S140" s="179"/>
      <c r="T140" s="182"/>
      <c r="U140" s="179"/>
      <c r="V140" s="182"/>
      <c r="W140" s="179"/>
      <c r="X140" s="180"/>
      <c r="Y140" s="179"/>
      <c r="Z140" s="180"/>
      <c r="AA140" s="184"/>
      <c r="AB140" s="180"/>
      <c r="AC140" s="179"/>
      <c r="AD140" s="183"/>
      <c r="AE140" s="185"/>
      <c r="AF140" s="183"/>
      <c r="AG140" s="191"/>
      <c r="AI140" s="187"/>
      <c r="AJ140" s="85"/>
    </row>
    <row r="141" s="1" customFormat="1" spans="1:36">
      <c r="A141" s="176"/>
      <c r="B141" s="176"/>
      <c r="C141" s="177"/>
      <c r="D141" s="177"/>
      <c r="E141" s="177"/>
      <c r="F141" s="176"/>
      <c r="G141" s="176"/>
      <c r="H141" s="176"/>
      <c r="J141" s="178"/>
      <c r="K141" s="179"/>
      <c r="L141" s="180"/>
      <c r="M141" s="179"/>
      <c r="N141" s="181"/>
      <c r="O141" s="179"/>
      <c r="P141" s="182"/>
      <c r="Q141" s="179"/>
      <c r="R141" s="183"/>
      <c r="S141" s="179"/>
      <c r="T141" s="182"/>
      <c r="U141" s="179"/>
      <c r="V141" s="182"/>
      <c r="W141" s="179"/>
      <c r="X141" s="180"/>
      <c r="Y141" s="179"/>
      <c r="Z141" s="180"/>
      <c r="AA141" s="184"/>
      <c r="AB141" s="180"/>
      <c r="AC141" s="179"/>
      <c r="AD141" s="183"/>
      <c r="AE141" s="185"/>
      <c r="AF141" s="183"/>
      <c r="AG141" s="191"/>
      <c r="AI141" s="187"/>
      <c r="AJ141" s="85"/>
    </row>
    <row r="142" s="1" customFormat="1" spans="1:36">
      <c r="A142" s="176"/>
      <c r="B142" s="176"/>
      <c r="C142" s="177"/>
      <c r="D142" s="177"/>
      <c r="E142" s="177"/>
      <c r="F142" s="176"/>
      <c r="G142" s="176"/>
      <c r="H142" s="176"/>
      <c r="J142" s="178"/>
      <c r="K142" s="179"/>
      <c r="L142" s="180"/>
      <c r="M142" s="179"/>
      <c r="N142" s="181"/>
      <c r="O142" s="179"/>
      <c r="P142" s="182"/>
      <c r="Q142" s="179"/>
      <c r="R142" s="183"/>
      <c r="S142" s="179"/>
      <c r="T142" s="182"/>
      <c r="U142" s="179"/>
      <c r="V142" s="182"/>
      <c r="W142" s="179"/>
      <c r="X142" s="180"/>
      <c r="Y142" s="179"/>
      <c r="Z142" s="180"/>
      <c r="AA142" s="184"/>
      <c r="AB142" s="180"/>
      <c r="AC142" s="179"/>
      <c r="AD142" s="183"/>
      <c r="AE142" s="185"/>
      <c r="AF142" s="183"/>
      <c r="AG142" s="191"/>
      <c r="AI142" s="187"/>
      <c r="AJ142" s="85"/>
    </row>
    <row r="143" s="1" customFormat="1" spans="1:36">
      <c r="A143" s="176"/>
      <c r="B143" s="176"/>
      <c r="C143" s="177"/>
      <c r="D143" s="177"/>
      <c r="E143" s="177"/>
      <c r="F143" s="176"/>
      <c r="G143" s="176"/>
      <c r="H143" s="176"/>
      <c r="J143" s="178"/>
      <c r="K143" s="179"/>
      <c r="L143" s="180"/>
      <c r="M143" s="179"/>
      <c r="N143" s="181"/>
      <c r="O143" s="179"/>
      <c r="P143" s="182"/>
      <c r="Q143" s="179"/>
      <c r="R143" s="183"/>
      <c r="S143" s="179"/>
      <c r="T143" s="182"/>
      <c r="U143" s="179"/>
      <c r="V143" s="182"/>
      <c r="W143" s="179"/>
      <c r="X143" s="180"/>
      <c r="Y143" s="179"/>
      <c r="Z143" s="180"/>
      <c r="AA143" s="184"/>
      <c r="AB143" s="180"/>
      <c r="AC143" s="179"/>
      <c r="AD143" s="183"/>
      <c r="AE143" s="185"/>
      <c r="AF143" s="183"/>
      <c r="AG143" s="191"/>
      <c r="AI143" s="187"/>
      <c r="AJ143" s="85"/>
    </row>
    <row r="144" s="1" customFormat="1" spans="1:36">
      <c r="A144" s="176"/>
      <c r="B144" s="176"/>
      <c r="C144" s="177"/>
      <c r="D144" s="177"/>
      <c r="E144" s="177"/>
      <c r="F144" s="176"/>
      <c r="G144" s="176"/>
      <c r="H144" s="176"/>
      <c r="J144" s="178"/>
      <c r="K144" s="179"/>
      <c r="L144" s="180"/>
      <c r="M144" s="179"/>
      <c r="N144" s="181"/>
      <c r="O144" s="179"/>
      <c r="P144" s="182"/>
      <c r="Q144" s="179"/>
      <c r="R144" s="183"/>
      <c r="S144" s="179"/>
      <c r="T144" s="182"/>
      <c r="U144" s="179"/>
      <c r="V144" s="182"/>
      <c r="W144" s="179"/>
      <c r="X144" s="180"/>
      <c r="Y144" s="179"/>
      <c r="Z144" s="180"/>
      <c r="AA144" s="184"/>
      <c r="AB144" s="180"/>
      <c r="AC144" s="179"/>
      <c r="AD144" s="183"/>
      <c r="AE144" s="185"/>
      <c r="AF144" s="183"/>
      <c r="AG144" s="191"/>
      <c r="AI144" s="187"/>
      <c r="AJ144" s="85"/>
    </row>
    <row r="145" s="1" customFormat="1" spans="1:36">
      <c r="A145" s="176"/>
      <c r="B145" s="176"/>
      <c r="C145" s="177"/>
      <c r="D145" s="177"/>
      <c r="E145" s="177"/>
      <c r="F145" s="176"/>
      <c r="G145" s="176"/>
      <c r="H145" s="176"/>
      <c r="J145" s="178"/>
      <c r="K145" s="179"/>
      <c r="L145" s="180"/>
      <c r="M145" s="179"/>
      <c r="N145" s="181"/>
      <c r="O145" s="179"/>
      <c r="P145" s="182"/>
      <c r="Q145" s="179"/>
      <c r="R145" s="183"/>
      <c r="S145" s="179"/>
      <c r="T145" s="182"/>
      <c r="U145" s="179"/>
      <c r="V145" s="182"/>
      <c r="W145" s="179"/>
      <c r="X145" s="180"/>
      <c r="Y145" s="179"/>
      <c r="Z145" s="180"/>
      <c r="AA145" s="184"/>
      <c r="AB145" s="180"/>
      <c r="AC145" s="179"/>
      <c r="AD145" s="183"/>
      <c r="AE145" s="185"/>
      <c r="AF145" s="183"/>
      <c r="AG145" s="191"/>
      <c r="AI145" s="187"/>
      <c r="AJ145" s="85"/>
    </row>
    <row r="146" s="1" customFormat="1" spans="1:36">
      <c r="A146" s="176"/>
      <c r="B146" s="176"/>
      <c r="C146" s="177"/>
      <c r="D146" s="177"/>
      <c r="E146" s="177"/>
      <c r="F146" s="176"/>
      <c r="G146" s="176"/>
      <c r="H146" s="176"/>
      <c r="J146" s="178"/>
      <c r="K146" s="179"/>
      <c r="L146" s="180"/>
      <c r="M146" s="179"/>
      <c r="N146" s="181"/>
      <c r="O146" s="179"/>
      <c r="P146" s="182"/>
      <c r="Q146" s="179"/>
      <c r="R146" s="183"/>
      <c r="S146" s="179"/>
      <c r="T146" s="182"/>
      <c r="U146" s="179"/>
      <c r="V146" s="182"/>
      <c r="W146" s="179"/>
      <c r="X146" s="180"/>
      <c r="Y146" s="179"/>
      <c r="Z146" s="180"/>
      <c r="AA146" s="184"/>
      <c r="AB146" s="180"/>
      <c r="AC146" s="179"/>
      <c r="AD146" s="183"/>
      <c r="AE146" s="185"/>
      <c r="AF146" s="183"/>
      <c r="AG146" s="191"/>
      <c r="AI146" s="187"/>
      <c r="AJ146" s="85"/>
    </row>
    <row r="147" s="1" customFormat="1" spans="1:36">
      <c r="A147" s="176"/>
      <c r="B147" s="176"/>
      <c r="C147" s="177"/>
      <c r="D147" s="177"/>
      <c r="E147" s="177"/>
      <c r="F147" s="176"/>
      <c r="G147" s="176"/>
      <c r="H147" s="176"/>
      <c r="J147" s="178"/>
      <c r="K147" s="179"/>
      <c r="L147" s="180"/>
      <c r="M147" s="179"/>
      <c r="N147" s="181"/>
      <c r="O147" s="179"/>
      <c r="P147" s="182"/>
      <c r="Q147" s="179"/>
      <c r="R147" s="183"/>
      <c r="S147" s="179"/>
      <c r="T147" s="182"/>
      <c r="U147" s="179"/>
      <c r="V147" s="182"/>
      <c r="W147" s="179"/>
      <c r="X147" s="180"/>
      <c r="Y147" s="179"/>
      <c r="Z147" s="180"/>
      <c r="AA147" s="184"/>
      <c r="AB147" s="180"/>
      <c r="AC147" s="179"/>
      <c r="AD147" s="183"/>
      <c r="AE147" s="185"/>
      <c r="AF147" s="183"/>
      <c r="AG147" s="191"/>
      <c r="AI147" s="187"/>
      <c r="AJ147" s="85"/>
    </row>
    <row r="148" s="1" customFormat="1" spans="1:36">
      <c r="A148" s="176"/>
      <c r="B148" s="176"/>
      <c r="C148" s="177"/>
      <c r="D148" s="177"/>
      <c r="E148" s="177"/>
      <c r="F148" s="176"/>
      <c r="G148" s="176"/>
      <c r="H148" s="176"/>
      <c r="J148" s="178"/>
      <c r="K148" s="179"/>
      <c r="L148" s="180"/>
      <c r="M148" s="179"/>
      <c r="N148" s="181"/>
      <c r="O148" s="179"/>
      <c r="P148" s="182"/>
      <c r="Q148" s="179"/>
      <c r="R148" s="183"/>
      <c r="S148" s="179"/>
      <c r="T148" s="182"/>
      <c r="U148" s="179"/>
      <c r="V148" s="182"/>
      <c r="W148" s="179"/>
      <c r="X148" s="180"/>
      <c r="Y148" s="179"/>
      <c r="Z148" s="180"/>
      <c r="AA148" s="184"/>
      <c r="AB148" s="180"/>
      <c r="AC148" s="179"/>
      <c r="AD148" s="183"/>
      <c r="AE148" s="185"/>
      <c r="AF148" s="183"/>
      <c r="AG148" s="191"/>
      <c r="AI148" s="187"/>
      <c r="AJ148" s="85"/>
    </row>
    <row r="149" s="1" customFormat="1" spans="1:36">
      <c r="A149" s="176"/>
      <c r="B149" s="176"/>
      <c r="C149" s="177"/>
      <c r="D149" s="177"/>
      <c r="E149" s="177"/>
      <c r="F149" s="176"/>
      <c r="G149" s="176"/>
      <c r="H149" s="176"/>
      <c r="J149" s="178"/>
      <c r="K149" s="179"/>
      <c r="L149" s="180"/>
      <c r="M149" s="179"/>
      <c r="N149" s="181"/>
      <c r="O149" s="179"/>
      <c r="P149" s="182"/>
      <c r="Q149" s="179"/>
      <c r="R149" s="183"/>
      <c r="S149" s="179"/>
      <c r="T149" s="182"/>
      <c r="U149" s="179"/>
      <c r="V149" s="182"/>
      <c r="W149" s="179"/>
      <c r="X149" s="180"/>
      <c r="Y149" s="179"/>
      <c r="Z149" s="180"/>
      <c r="AA149" s="184"/>
      <c r="AB149" s="180"/>
      <c r="AC149" s="179"/>
      <c r="AD149" s="183"/>
      <c r="AE149" s="185"/>
      <c r="AF149" s="183"/>
      <c r="AG149" s="191"/>
      <c r="AI149" s="187"/>
      <c r="AJ149" s="85"/>
    </row>
    <row r="150" s="1" customFormat="1" spans="1:36">
      <c r="A150" s="176"/>
      <c r="B150" s="176"/>
      <c r="C150" s="177"/>
      <c r="D150" s="177"/>
      <c r="E150" s="177"/>
      <c r="F150" s="176"/>
      <c r="G150" s="176"/>
      <c r="H150" s="176"/>
      <c r="J150" s="178"/>
      <c r="K150" s="179"/>
      <c r="L150" s="180"/>
      <c r="M150" s="179"/>
      <c r="N150" s="181"/>
      <c r="O150" s="179"/>
      <c r="P150" s="182"/>
      <c r="Q150" s="179"/>
      <c r="R150" s="183"/>
      <c r="S150" s="179"/>
      <c r="T150" s="182"/>
      <c r="U150" s="179"/>
      <c r="V150" s="182"/>
      <c r="W150" s="179"/>
      <c r="X150" s="180"/>
      <c r="Y150" s="179"/>
      <c r="Z150" s="180"/>
      <c r="AA150" s="184"/>
      <c r="AB150" s="180"/>
      <c r="AC150" s="179"/>
      <c r="AD150" s="183"/>
      <c r="AE150" s="185"/>
      <c r="AF150" s="183"/>
      <c r="AG150" s="191"/>
      <c r="AI150" s="187"/>
      <c r="AJ150" s="85"/>
    </row>
    <row r="151" s="1" customFormat="1" spans="1:36">
      <c r="A151" s="176"/>
      <c r="B151" s="176"/>
      <c r="C151" s="177"/>
      <c r="D151" s="177"/>
      <c r="E151" s="177"/>
      <c r="F151" s="176"/>
      <c r="G151" s="176"/>
      <c r="H151" s="176"/>
      <c r="J151" s="178"/>
      <c r="K151" s="179"/>
      <c r="L151" s="180"/>
      <c r="M151" s="179"/>
      <c r="N151" s="181"/>
      <c r="O151" s="179"/>
      <c r="P151" s="182"/>
      <c r="Q151" s="179"/>
      <c r="R151" s="183"/>
      <c r="S151" s="179"/>
      <c r="T151" s="182"/>
      <c r="U151" s="179"/>
      <c r="V151" s="182"/>
      <c r="W151" s="179"/>
      <c r="X151" s="180"/>
      <c r="Y151" s="179"/>
      <c r="Z151" s="180"/>
      <c r="AA151" s="184"/>
      <c r="AB151" s="180"/>
      <c r="AC151" s="179"/>
      <c r="AD151" s="183"/>
      <c r="AE151" s="185"/>
      <c r="AF151" s="183"/>
      <c r="AG151" s="191"/>
      <c r="AI151" s="187"/>
      <c r="AJ151" s="85"/>
    </row>
    <row r="152" s="1" customFormat="1" spans="1:36">
      <c r="A152" s="176"/>
      <c r="B152" s="176"/>
      <c r="C152" s="177"/>
      <c r="D152" s="177"/>
      <c r="E152" s="177"/>
      <c r="F152" s="176"/>
      <c r="G152" s="176"/>
      <c r="H152" s="176"/>
      <c r="J152" s="178"/>
      <c r="K152" s="179"/>
      <c r="L152" s="180"/>
      <c r="M152" s="179"/>
      <c r="N152" s="181"/>
      <c r="O152" s="179"/>
      <c r="P152" s="182"/>
      <c r="Q152" s="179"/>
      <c r="R152" s="183"/>
      <c r="S152" s="179"/>
      <c r="T152" s="182"/>
      <c r="U152" s="179"/>
      <c r="V152" s="182"/>
      <c r="W152" s="179"/>
      <c r="X152" s="180"/>
      <c r="Y152" s="179"/>
      <c r="Z152" s="180"/>
      <c r="AA152" s="184"/>
      <c r="AB152" s="180"/>
      <c r="AC152" s="179"/>
      <c r="AD152" s="183"/>
      <c r="AE152" s="185"/>
      <c r="AF152" s="183"/>
      <c r="AG152" s="191"/>
      <c r="AI152" s="187"/>
      <c r="AJ152" s="85"/>
    </row>
    <row r="153" s="1" customFormat="1" spans="1:36">
      <c r="A153" s="176"/>
      <c r="B153" s="176"/>
      <c r="C153" s="177"/>
      <c r="D153" s="177"/>
      <c r="E153" s="177"/>
      <c r="F153" s="176"/>
      <c r="G153" s="176"/>
      <c r="H153" s="176"/>
      <c r="J153" s="178"/>
      <c r="K153" s="179"/>
      <c r="L153" s="180"/>
      <c r="M153" s="179"/>
      <c r="N153" s="181"/>
      <c r="O153" s="179"/>
      <c r="P153" s="182"/>
      <c r="Q153" s="179"/>
      <c r="R153" s="183"/>
      <c r="S153" s="179"/>
      <c r="T153" s="182"/>
      <c r="U153" s="179"/>
      <c r="V153" s="182"/>
      <c r="W153" s="179"/>
      <c r="X153" s="180"/>
      <c r="Y153" s="179"/>
      <c r="Z153" s="180"/>
      <c r="AA153" s="184"/>
      <c r="AB153" s="180"/>
      <c r="AC153" s="179"/>
      <c r="AD153" s="183"/>
      <c r="AE153" s="185"/>
      <c r="AF153" s="183"/>
      <c r="AG153" s="191"/>
      <c r="AI153" s="187"/>
      <c r="AJ153" s="85"/>
    </row>
    <row r="154" s="1" customFormat="1" spans="1:36">
      <c r="A154" s="176"/>
      <c r="B154" s="176"/>
      <c r="C154" s="177"/>
      <c r="D154" s="177"/>
      <c r="E154" s="177"/>
      <c r="F154" s="176"/>
      <c r="G154" s="176"/>
      <c r="H154" s="176"/>
      <c r="J154" s="178"/>
      <c r="K154" s="179"/>
      <c r="L154" s="180"/>
      <c r="M154" s="179"/>
      <c r="N154" s="181"/>
      <c r="O154" s="179"/>
      <c r="P154" s="182"/>
      <c r="Q154" s="179"/>
      <c r="R154" s="183"/>
      <c r="S154" s="179"/>
      <c r="T154" s="182"/>
      <c r="U154" s="179"/>
      <c r="V154" s="182"/>
      <c r="W154" s="179"/>
      <c r="X154" s="180"/>
      <c r="Y154" s="179"/>
      <c r="Z154" s="180"/>
      <c r="AA154" s="184"/>
      <c r="AB154" s="180"/>
      <c r="AC154" s="179"/>
      <c r="AD154" s="183"/>
      <c r="AE154" s="185"/>
      <c r="AF154" s="183"/>
      <c r="AG154" s="191"/>
      <c r="AI154" s="187"/>
      <c r="AJ154" s="85"/>
    </row>
    <row r="155" s="1" customFormat="1" spans="1:36">
      <c r="A155" s="176"/>
      <c r="B155" s="176"/>
      <c r="C155" s="177"/>
      <c r="D155" s="177"/>
      <c r="E155" s="177"/>
      <c r="F155" s="176"/>
      <c r="G155" s="176"/>
      <c r="H155" s="176"/>
      <c r="J155" s="178"/>
      <c r="K155" s="179"/>
      <c r="L155" s="180"/>
      <c r="M155" s="179"/>
      <c r="N155" s="181"/>
      <c r="O155" s="179"/>
      <c r="P155" s="182"/>
      <c r="Q155" s="179"/>
      <c r="R155" s="183"/>
      <c r="S155" s="179"/>
      <c r="T155" s="182"/>
      <c r="U155" s="179"/>
      <c r="V155" s="182"/>
      <c r="W155" s="179"/>
      <c r="X155" s="180"/>
      <c r="Y155" s="179"/>
      <c r="Z155" s="180"/>
      <c r="AA155" s="184"/>
      <c r="AB155" s="180"/>
      <c r="AC155" s="179"/>
      <c r="AD155" s="183"/>
      <c r="AE155" s="185"/>
      <c r="AF155" s="183"/>
      <c r="AG155" s="191"/>
      <c r="AI155" s="187"/>
      <c r="AJ155" s="85"/>
    </row>
    <row r="156" s="1" customFormat="1" spans="1:36">
      <c r="A156" s="176"/>
      <c r="B156" s="176"/>
      <c r="C156" s="177"/>
      <c r="D156" s="177"/>
      <c r="E156" s="177"/>
      <c r="F156" s="176"/>
      <c r="G156" s="176"/>
      <c r="H156" s="176"/>
      <c r="J156" s="178"/>
      <c r="K156" s="179"/>
      <c r="L156" s="180"/>
      <c r="M156" s="179"/>
      <c r="N156" s="181"/>
      <c r="O156" s="179"/>
      <c r="P156" s="182"/>
      <c r="Q156" s="179"/>
      <c r="R156" s="183"/>
      <c r="S156" s="179"/>
      <c r="T156" s="182"/>
      <c r="U156" s="179"/>
      <c r="V156" s="182"/>
      <c r="W156" s="179"/>
      <c r="X156" s="180"/>
      <c r="Y156" s="179"/>
      <c r="Z156" s="180"/>
      <c r="AA156" s="184"/>
      <c r="AB156" s="180"/>
      <c r="AC156" s="179"/>
      <c r="AD156" s="183"/>
      <c r="AE156" s="185"/>
      <c r="AF156" s="183"/>
      <c r="AG156" s="191"/>
      <c r="AI156" s="187"/>
      <c r="AJ156" s="85"/>
    </row>
    <row r="157" s="1" customFormat="1" spans="1:36">
      <c r="A157" s="176"/>
      <c r="B157" s="176"/>
      <c r="C157" s="177"/>
      <c r="D157" s="177"/>
      <c r="E157" s="177"/>
      <c r="F157" s="176"/>
      <c r="G157" s="176"/>
      <c r="H157" s="176"/>
      <c r="J157" s="178"/>
      <c r="K157" s="179"/>
      <c r="L157" s="180"/>
      <c r="M157" s="179"/>
      <c r="N157" s="181"/>
      <c r="O157" s="179"/>
      <c r="P157" s="182"/>
      <c r="Q157" s="179"/>
      <c r="R157" s="183"/>
      <c r="S157" s="179"/>
      <c r="T157" s="182"/>
      <c r="U157" s="179"/>
      <c r="V157" s="182"/>
      <c r="W157" s="179"/>
      <c r="X157" s="180"/>
      <c r="Y157" s="179"/>
      <c r="Z157" s="180"/>
      <c r="AA157" s="184"/>
      <c r="AB157" s="180"/>
      <c r="AC157" s="179"/>
      <c r="AD157" s="183"/>
      <c r="AE157" s="185"/>
      <c r="AF157" s="183"/>
      <c r="AG157" s="191"/>
      <c r="AI157" s="187"/>
      <c r="AJ157" s="85"/>
    </row>
    <row r="158" s="1" customFormat="1" spans="1:36">
      <c r="A158" s="176"/>
      <c r="B158" s="176"/>
      <c r="C158" s="177"/>
      <c r="D158" s="177"/>
      <c r="E158" s="177"/>
      <c r="F158" s="176"/>
      <c r="G158" s="176"/>
      <c r="H158" s="176"/>
      <c r="J158" s="178"/>
      <c r="K158" s="179"/>
      <c r="L158" s="180"/>
      <c r="M158" s="179"/>
      <c r="N158" s="181"/>
      <c r="O158" s="179"/>
      <c r="P158" s="182"/>
      <c r="Q158" s="179"/>
      <c r="R158" s="183"/>
      <c r="S158" s="179"/>
      <c r="T158" s="182"/>
      <c r="U158" s="179"/>
      <c r="V158" s="182"/>
      <c r="W158" s="179"/>
      <c r="X158" s="180"/>
      <c r="Y158" s="179"/>
      <c r="Z158" s="180"/>
      <c r="AA158" s="184"/>
      <c r="AB158" s="180"/>
      <c r="AC158" s="179"/>
      <c r="AD158" s="183"/>
      <c r="AE158" s="185"/>
      <c r="AF158" s="183"/>
      <c r="AG158" s="191"/>
      <c r="AI158" s="187"/>
      <c r="AJ158" s="85"/>
    </row>
    <row r="159" s="1" customFormat="1" spans="1:36">
      <c r="A159" s="176"/>
      <c r="B159" s="176"/>
      <c r="C159" s="177"/>
      <c r="D159" s="177"/>
      <c r="E159" s="177"/>
      <c r="F159" s="176"/>
      <c r="G159" s="176"/>
      <c r="H159" s="176"/>
      <c r="J159" s="178"/>
      <c r="K159" s="179"/>
      <c r="L159" s="180"/>
      <c r="M159" s="179"/>
      <c r="N159" s="181"/>
      <c r="O159" s="179"/>
      <c r="P159" s="182"/>
      <c r="Q159" s="179"/>
      <c r="R159" s="183"/>
      <c r="S159" s="179"/>
      <c r="T159" s="182"/>
      <c r="U159" s="179"/>
      <c r="V159" s="182"/>
      <c r="W159" s="179"/>
      <c r="X159" s="180"/>
      <c r="Y159" s="179"/>
      <c r="Z159" s="180"/>
      <c r="AA159" s="184"/>
      <c r="AB159" s="180"/>
      <c r="AC159" s="179"/>
      <c r="AD159" s="183"/>
      <c r="AE159" s="185"/>
      <c r="AF159" s="183"/>
      <c r="AG159" s="191"/>
      <c r="AI159" s="187"/>
      <c r="AJ159" s="85"/>
    </row>
    <row r="160" s="1" customFormat="1" spans="1:36">
      <c r="A160" s="176"/>
      <c r="B160" s="176"/>
      <c r="C160" s="177"/>
      <c r="D160" s="177"/>
      <c r="E160" s="177"/>
      <c r="F160" s="176"/>
      <c r="G160" s="176"/>
      <c r="H160" s="176"/>
      <c r="J160" s="178"/>
      <c r="K160" s="179"/>
      <c r="L160" s="180"/>
      <c r="M160" s="179"/>
      <c r="N160" s="181"/>
      <c r="O160" s="179"/>
      <c r="P160" s="182"/>
      <c r="Q160" s="179"/>
      <c r="R160" s="183"/>
      <c r="S160" s="179"/>
      <c r="T160" s="182"/>
      <c r="U160" s="179"/>
      <c r="V160" s="182"/>
      <c r="W160" s="179"/>
      <c r="X160" s="180"/>
      <c r="Y160" s="179"/>
      <c r="Z160" s="180"/>
      <c r="AA160" s="184"/>
      <c r="AB160" s="180"/>
      <c r="AC160" s="179"/>
      <c r="AD160" s="183"/>
      <c r="AE160" s="185"/>
      <c r="AF160" s="183"/>
      <c r="AG160" s="191"/>
      <c r="AI160" s="187"/>
      <c r="AJ160" s="85"/>
    </row>
    <row r="161" s="1" customFormat="1" spans="1:36">
      <c r="A161" s="176"/>
      <c r="B161" s="176"/>
      <c r="C161" s="177"/>
      <c r="D161" s="177"/>
      <c r="E161" s="177"/>
      <c r="F161" s="176"/>
      <c r="G161" s="176"/>
      <c r="H161" s="176"/>
      <c r="J161" s="178"/>
      <c r="K161" s="179"/>
      <c r="L161" s="180"/>
      <c r="M161" s="179"/>
      <c r="N161" s="181"/>
      <c r="O161" s="179"/>
      <c r="P161" s="182"/>
      <c r="Q161" s="179"/>
      <c r="R161" s="183"/>
      <c r="S161" s="179"/>
      <c r="T161" s="182"/>
      <c r="U161" s="179"/>
      <c r="V161" s="182"/>
      <c r="W161" s="179"/>
      <c r="X161" s="180"/>
      <c r="Y161" s="179"/>
      <c r="Z161" s="180"/>
      <c r="AA161" s="184"/>
      <c r="AB161" s="180"/>
      <c r="AC161" s="179"/>
      <c r="AD161" s="183"/>
      <c r="AE161" s="185"/>
      <c r="AF161" s="183"/>
      <c r="AG161" s="191"/>
      <c r="AI161" s="187"/>
      <c r="AJ161" s="85"/>
    </row>
    <row r="162" s="1" customFormat="1" spans="1:36">
      <c r="A162" s="176"/>
      <c r="B162" s="176"/>
      <c r="C162" s="177"/>
      <c r="D162" s="177"/>
      <c r="E162" s="177"/>
      <c r="F162" s="176"/>
      <c r="G162" s="176"/>
      <c r="H162" s="176"/>
      <c r="J162" s="178"/>
      <c r="K162" s="179"/>
      <c r="L162" s="180"/>
      <c r="M162" s="179"/>
      <c r="N162" s="181"/>
      <c r="O162" s="179"/>
      <c r="P162" s="182"/>
      <c r="Q162" s="179"/>
      <c r="R162" s="183"/>
      <c r="S162" s="179"/>
      <c r="T162" s="182"/>
      <c r="U162" s="179"/>
      <c r="V162" s="182"/>
      <c r="W162" s="179"/>
      <c r="X162" s="180"/>
      <c r="Y162" s="179"/>
      <c r="Z162" s="180"/>
      <c r="AA162" s="184"/>
      <c r="AB162" s="180"/>
      <c r="AC162" s="179"/>
      <c r="AD162" s="183"/>
      <c r="AE162" s="185"/>
      <c r="AF162" s="183"/>
      <c r="AG162" s="191"/>
      <c r="AI162" s="187"/>
      <c r="AJ162" s="85"/>
    </row>
    <row r="163" s="1" customFormat="1" spans="1:36">
      <c r="A163" s="176"/>
      <c r="B163" s="176"/>
      <c r="C163" s="177"/>
      <c r="D163" s="177"/>
      <c r="E163" s="177"/>
      <c r="F163" s="176"/>
      <c r="G163" s="176"/>
      <c r="H163" s="176"/>
      <c r="J163" s="178"/>
      <c r="K163" s="179"/>
      <c r="L163" s="180"/>
      <c r="M163" s="179"/>
      <c r="N163" s="181"/>
      <c r="O163" s="179"/>
      <c r="P163" s="182"/>
      <c r="Q163" s="179"/>
      <c r="R163" s="183"/>
      <c r="S163" s="179"/>
      <c r="T163" s="182"/>
      <c r="U163" s="179"/>
      <c r="V163" s="182"/>
      <c r="W163" s="179"/>
      <c r="X163" s="180"/>
      <c r="Y163" s="179"/>
      <c r="Z163" s="180"/>
      <c r="AA163" s="184"/>
      <c r="AB163" s="180"/>
      <c r="AC163" s="179"/>
      <c r="AD163" s="183"/>
      <c r="AE163" s="185"/>
      <c r="AF163" s="183"/>
      <c r="AG163" s="191"/>
      <c r="AI163" s="187"/>
      <c r="AJ163" s="85"/>
    </row>
    <row r="164" s="1" customFormat="1" spans="1:36">
      <c r="A164" s="176"/>
      <c r="B164" s="176"/>
      <c r="C164" s="177"/>
      <c r="D164" s="177"/>
      <c r="E164" s="177"/>
      <c r="F164" s="176"/>
      <c r="G164" s="176"/>
      <c r="H164" s="176"/>
      <c r="J164" s="178"/>
      <c r="K164" s="179"/>
      <c r="L164" s="180"/>
      <c r="M164" s="179"/>
      <c r="N164" s="181"/>
      <c r="O164" s="179"/>
      <c r="P164" s="182"/>
      <c r="Q164" s="179"/>
      <c r="R164" s="183"/>
      <c r="S164" s="179"/>
      <c r="T164" s="182"/>
      <c r="U164" s="179"/>
      <c r="V164" s="182"/>
      <c r="W164" s="179"/>
      <c r="X164" s="180"/>
      <c r="Y164" s="179"/>
      <c r="Z164" s="180"/>
      <c r="AA164" s="184"/>
      <c r="AB164" s="180"/>
      <c r="AC164" s="179"/>
      <c r="AD164" s="183"/>
      <c r="AE164" s="185"/>
      <c r="AF164" s="183"/>
      <c r="AG164" s="191"/>
      <c r="AI164" s="187"/>
      <c r="AJ164" s="85"/>
    </row>
    <row r="165" s="1" customFormat="1" spans="1:36">
      <c r="A165" s="176"/>
      <c r="B165" s="176"/>
      <c r="C165" s="177"/>
      <c r="D165" s="177"/>
      <c r="E165" s="177"/>
      <c r="F165" s="176"/>
      <c r="G165" s="176"/>
      <c r="H165" s="176"/>
      <c r="J165" s="178"/>
      <c r="K165" s="179"/>
      <c r="L165" s="180"/>
      <c r="M165" s="179"/>
      <c r="N165" s="181"/>
      <c r="O165" s="179"/>
      <c r="P165" s="182"/>
      <c r="Q165" s="179"/>
      <c r="R165" s="183"/>
      <c r="S165" s="179"/>
      <c r="T165" s="182"/>
      <c r="U165" s="179"/>
      <c r="V165" s="182"/>
      <c r="W165" s="179"/>
      <c r="X165" s="180"/>
      <c r="Y165" s="179"/>
      <c r="Z165" s="180"/>
      <c r="AA165" s="184"/>
      <c r="AB165" s="180"/>
      <c r="AC165" s="179"/>
      <c r="AD165" s="183"/>
      <c r="AE165" s="185"/>
      <c r="AF165" s="183"/>
      <c r="AG165" s="191"/>
      <c r="AI165" s="187"/>
      <c r="AJ165" s="85"/>
    </row>
    <row r="166" s="1" customFormat="1" spans="1:36">
      <c r="A166" s="176"/>
      <c r="B166" s="176"/>
      <c r="C166" s="177"/>
      <c r="D166" s="177"/>
      <c r="E166" s="177"/>
      <c r="F166" s="176"/>
      <c r="G166" s="176"/>
      <c r="H166" s="176"/>
      <c r="J166" s="178"/>
      <c r="K166" s="179"/>
      <c r="L166" s="180"/>
      <c r="M166" s="179"/>
      <c r="N166" s="181"/>
      <c r="O166" s="179"/>
      <c r="P166" s="182"/>
      <c r="Q166" s="179"/>
      <c r="R166" s="183"/>
      <c r="S166" s="179"/>
      <c r="T166" s="182"/>
      <c r="U166" s="179"/>
      <c r="V166" s="182"/>
      <c r="W166" s="179"/>
      <c r="X166" s="180"/>
      <c r="Y166" s="179"/>
      <c r="Z166" s="180"/>
      <c r="AA166" s="184"/>
      <c r="AB166" s="180"/>
      <c r="AC166" s="179"/>
      <c r="AD166" s="183"/>
      <c r="AE166" s="185"/>
      <c r="AF166" s="183"/>
      <c r="AG166" s="191"/>
      <c r="AI166" s="187"/>
      <c r="AJ166" s="85"/>
    </row>
    <row r="167" s="1" customFormat="1" spans="1:36">
      <c r="A167" s="176"/>
      <c r="B167" s="176"/>
      <c r="C167" s="177"/>
      <c r="D167" s="177"/>
      <c r="E167" s="177"/>
      <c r="F167" s="176"/>
      <c r="G167" s="176"/>
      <c r="H167" s="176"/>
      <c r="J167" s="178"/>
      <c r="K167" s="179"/>
      <c r="L167" s="180"/>
      <c r="M167" s="179"/>
      <c r="N167" s="181"/>
      <c r="O167" s="179"/>
      <c r="P167" s="182"/>
      <c r="Q167" s="179"/>
      <c r="R167" s="183"/>
      <c r="S167" s="179"/>
      <c r="T167" s="182"/>
      <c r="U167" s="179"/>
      <c r="V167" s="182"/>
      <c r="W167" s="179"/>
      <c r="X167" s="180"/>
      <c r="Y167" s="179"/>
      <c r="Z167" s="180"/>
      <c r="AA167" s="184"/>
      <c r="AB167" s="180"/>
      <c r="AC167" s="179"/>
      <c r="AD167" s="183"/>
      <c r="AE167" s="185"/>
      <c r="AF167" s="183"/>
      <c r="AG167" s="191"/>
      <c r="AI167" s="187"/>
      <c r="AJ167" s="85"/>
    </row>
    <row r="168" s="1" customFormat="1" spans="1:36">
      <c r="A168" s="176"/>
      <c r="B168" s="176"/>
      <c r="C168" s="177"/>
      <c r="D168" s="177"/>
      <c r="E168" s="177"/>
      <c r="F168" s="176"/>
      <c r="G168" s="176"/>
      <c r="H168" s="176"/>
      <c r="J168" s="178"/>
      <c r="K168" s="179"/>
      <c r="L168" s="180"/>
      <c r="M168" s="179"/>
      <c r="N168" s="181"/>
      <c r="O168" s="179"/>
      <c r="P168" s="182"/>
      <c r="Q168" s="179"/>
      <c r="R168" s="183"/>
      <c r="S168" s="179"/>
      <c r="T168" s="182"/>
      <c r="U168" s="179"/>
      <c r="V168" s="182"/>
      <c r="W168" s="179"/>
      <c r="X168" s="180"/>
      <c r="Y168" s="179"/>
      <c r="Z168" s="180"/>
      <c r="AA168" s="184"/>
      <c r="AB168" s="180"/>
      <c r="AC168" s="179"/>
      <c r="AD168" s="183"/>
      <c r="AE168" s="185"/>
      <c r="AF168" s="183"/>
      <c r="AG168" s="191"/>
      <c r="AI168" s="187"/>
      <c r="AJ168" s="85"/>
    </row>
    <row r="169" s="1" customFormat="1" spans="1:36">
      <c r="A169" s="176"/>
      <c r="B169" s="176"/>
      <c r="C169" s="177"/>
      <c r="D169" s="177"/>
      <c r="E169" s="177"/>
      <c r="F169" s="176"/>
      <c r="G169" s="176"/>
      <c r="H169" s="176"/>
      <c r="J169" s="178"/>
      <c r="K169" s="179"/>
      <c r="L169" s="180"/>
      <c r="M169" s="179"/>
      <c r="N169" s="181"/>
      <c r="O169" s="179"/>
      <c r="P169" s="182"/>
      <c r="Q169" s="179"/>
      <c r="R169" s="183"/>
      <c r="S169" s="179"/>
      <c r="T169" s="182"/>
      <c r="U169" s="179"/>
      <c r="V169" s="182"/>
      <c r="W169" s="179"/>
      <c r="X169" s="180"/>
      <c r="Y169" s="179"/>
      <c r="Z169" s="180"/>
      <c r="AA169" s="184"/>
      <c r="AB169" s="180"/>
      <c r="AC169" s="179"/>
      <c r="AD169" s="183"/>
      <c r="AE169" s="185"/>
      <c r="AF169" s="183"/>
      <c r="AG169" s="191"/>
      <c r="AI169" s="187"/>
      <c r="AJ169" s="85"/>
    </row>
    <row r="170" s="1" customFormat="1" spans="1:36">
      <c r="A170" s="176"/>
      <c r="B170" s="176"/>
      <c r="C170" s="177"/>
      <c r="D170" s="177"/>
      <c r="E170" s="177"/>
      <c r="F170" s="176"/>
      <c r="G170" s="176"/>
      <c r="H170" s="176"/>
      <c r="J170" s="178"/>
      <c r="K170" s="179"/>
      <c r="L170" s="180"/>
      <c r="M170" s="179"/>
      <c r="N170" s="181"/>
      <c r="O170" s="179"/>
      <c r="P170" s="182"/>
      <c r="Q170" s="179"/>
      <c r="R170" s="183"/>
      <c r="S170" s="179"/>
      <c r="T170" s="182"/>
      <c r="U170" s="179"/>
      <c r="V170" s="182"/>
      <c r="W170" s="179"/>
      <c r="X170" s="180"/>
      <c r="Y170" s="179"/>
      <c r="Z170" s="180"/>
      <c r="AA170" s="184"/>
      <c r="AB170" s="180"/>
      <c r="AC170" s="179"/>
      <c r="AD170" s="183"/>
      <c r="AE170" s="185"/>
      <c r="AF170" s="183"/>
      <c r="AG170" s="191"/>
      <c r="AI170" s="187"/>
      <c r="AJ170" s="85"/>
    </row>
    <row r="171" s="1" customFormat="1" spans="1:36">
      <c r="A171" s="176"/>
      <c r="B171" s="176"/>
      <c r="C171" s="177"/>
      <c r="D171" s="177"/>
      <c r="E171" s="177"/>
      <c r="F171" s="176"/>
      <c r="G171" s="176"/>
      <c r="H171" s="176"/>
      <c r="J171" s="178"/>
      <c r="K171" s="179"/>
      <c r="L171" s="180"/>
      <c r="M171" s="179"/>
      <c r="N171" s="181"/>
      <c r="O171" s="179"/>
      <c r="P171" s="182"/>
      <c r="Q171" s="179"/>
      <c r="R171" s="183"/>
      <c r="S171" s="179"/>
      <c r="T171" s="182"/>
      <c r="U171" s="179"/>
      <c r="V171" s="182"/>
      <c r="W171" s="179"/>
      <c r="X171" s="180"/>
      <c r="Y171" s="179"/>
      <c r="Z171" s="180"/>
      <c r="AA171" s="184"/>
      <c r="AB171" s="180"/>
      <c r="AC171" s="179"/>
      <c r="AD171" s="183"/>
      <c r="AE171" s="185"/>
      <c r="AF171" s="183"/>
      <c r="AG171" s="191"/>
      <c r="AI171" s="187"/>
      <c r="AJ171" s="85"/>
    </row>
    <row r="172" s="1" customFormat="1" spans="1:36">
      <c r="A172" s="176"/>
      <c r="B172" s="176"/>
      <c r="C172" s="177"/>
      <c r="D172" s="177"/>
      <c r="E172" s="177"/>
      <c r="F172" s="176"/>
      <c r="G172" s="176"/>
      <c r="H172" s="176"/>
      <c r="J172" s="178"/>
      <c r="K172" s="179"/>
      <c r="L172" s="180"/>
      <c r="M172" s="179"/>
      <c r="N172" s="181"/>
      <c r="O172" s="179"/>
      <c r="P172" s="182"/>
      <c r="Q172" s="179"/>
      <c r="R172" s="183"/>
      <c r="S172" s="179"/>
      <c r="T172" s="182"/>
      <c r="U172" s="179"/>
      <c r="V172" s="182"/>
      <c r="W172" s="179"/>
      <c r="X172" s="180"/>
      <c r="Y172" s="179"/>
      <c r="Z172" s="180"/>
      <c r="AA172" s="184"/>
      <c r="AB172" s="180"/>
      <c r="AC172" s="179"/>
      <c r="AD172" s="183"/>
      <c r="AE172" s="185"/>
      <c r="AF172" s="183"/>
      <c r="AG172" s="191"/>
      <c r="AI172" s="187"/>
      <c r="AJ172" s="85"/>
    </row>
    <row r="173" s="1" customFormat="1" spans="1:36">
      <c r="A173" s="176"/>
      <c r="B173" s="176"/>
      <c r="C173" s="177"/>
      <c r="D173" s="177"/>
      <c r="E173" s="177"/>
      <c r="F173" s="176"/>
      <c r="G173" s="176"/>
      <c r="H173" s="176"/>
      <c r="J173" s="178"/>
      <c r="K173" s="179"/>
      <c r="L173" s="180"/>
      <c r="M173" s="179"/>
      <c r="N173" s="181"/>
      <c r="O173" s="179"/>
      <c r="P173" s="182"/>
      <c r="Q173" s="179"/>
      <c r="R173" s="183"/>
      <c r="S173" s="179"/>
      <c r="T173" s="182"/>
      <c r="U173" s="179"/>
      <c r="V173" s="182"/>
      <c r="W173" s="179"/>
      <c r="X173" s="180"/>
      <c r="Y173" s="179"/>
      <c r="Z173" s="180"/>
      <c r="AA173" s="184"/>
      <c r="AB173" s="180"/>
      <c r="AC173" s="179"/>
      <c r="AD173" s="183"/>
      <c r="AE173" s="185"/>
      <c r="AF173" s="183"/>
      <c r="AG173" s="191"/>
      <c r="AI173" s="187"/>
      <c r="AJ173" s="85"/>
    </row>
    <row r="174" s="1" customFormat="1" spans="1:36">
      <c r="A174" s="176"/>
      <c r="B174" s="176"/>
      <c r="C174" s="177"/>
      <c r="D174" s="177"/>
      <c r="E174" s="177"/>
      <c r="F174" s="176"/>
      <c r="G174" s="176"/>
      <c r="H174" s="176"/>
      <c r="J174" s="178"/>
      <c r="K174" s="179"/>
      <c r="L174" s="180"/>
      <c r="M174" s="179"/>
      <c r="N174" s="181"/>
      <c r="O174" s="179"/>
      <c r="P174" s="182"/>
      <c r="Q174" s="179"/>
      <c r="R174" s="183"/>
      <c r="S174" s="179"/>
      <c r="T174" s="182"/>
      <c r="U174" s="179"/>
      <c r="V174" s="182"/>
      <c r="W174" s="179"/>
      <c r="X174" s="180"/>
      <c r="Y174" s="179"/>
      <c r="Z174" s="180"/>
      <c r="AA174" s="184"/>
      <c r="AB174" s="180"/>
      <c r="AC174" s="179"/>
      <c r="AD174" s="183"/>
      <c r="AE174" s="185"/>
      <c r="AF174" s="183"/>
      <c r="AG174" s="191"/>
      <c r="AI174" s="187"/>
      <c r="AJ174" s="85"/>
    </row>
    <row r="175" s="1" customFormat="1" spans="1:36">
      <c r="A175" s="176"/>
      <c r="B175" s="176"/>
      <c r="C175" s="177"/>
      <c r="D175" s="177"/>
      <c r="E175" s="177"/>
      <c r="F175" s="176"/>
      <c r="G175" s="176"/>
      <c r="H175" s="176"/>
      <c r="J175" s="178"/>
      <c r="K175" s="179"/>
      <c r="L175" s="180"/>
      <c r="M175" s="179"/>
      <c r="N175" s="181"/>
      <c r="O175" s="179"/>
      <c r="P175" s="182"/>
      <c r="Q175" s="179"/>
      <c r="R175" s="183"/>
      <c r="S175" s="179"/>
      <c r="T175" s="182"/>
      <c r="U175" s="179"/>
      <c r="V175" s="182"/>
      <c r="W175" s="179"/>
      <c r="X175" s="180"/>
      <c r="Y175" s="179"/>
      <c r="Z175" s="180"/>
      <c r="AA175" s="184"/>
      <c r="AB175" s="180"/>
      <c r="AC175" s="179"/>
      <c r="AD175" s="183"/>
      <c r="AE175" s="185"/>
      <c r="AF175" s="183"/>
      <c r="AG175" s="191"/>
      <c r="AI175" s="187"/>
      <c r="AJ175" s="85"/>
    </row>
    <row r="176" s="1" customFormat="1" spans="1:36">
      <c r="A176" s="176"/>
      <c r="B176" s="176"/>
      <c r="C176" s="177"/>
      <c r="D176" s="177"/>
      <c r="E176" s="177"/>
      <c r="F176" s="176"/>
      <c r="G176" s="176"/>
      <c r="H176" s="176"/>
      <c r="J176" s="178"/>
      <c r="K176" s="179"/>
      <c r="L176" s="180"/>
      <c r="M176" s="179"/>
      <c r="N176" s="181"/>
      <c r="O176" s="179"/>
      <c r="P176" s="182"/>
      <c r="Q176" s="179"/>
      <c r="R176" s="183"/>
      <c r="S176" s="179"/>
      <c r="T176" s="182"/>
      <c r="U176" s="179"/>
      <c r="V176" s="182"/>
      <c r="W176" s="179"/>
      <c r="X176" s="180"/>
      <c r="Y176" s="179"/>
      <c r="Z176" s="180"/>
      <c r="AA176" s="184"/>
      <c r="AB176" s="180"/>
      <c r="AC176" s="179"/>
      <c r="AD176" s="183"/>
      <c r="AE176" s="185"/>
      <c r="AF176" s="183"/>
      <c r="AG176" s="191"/>
      <c r="AI176" s="187"/>
      <c r="AJ176" s="85"/>
    </row>
    <row r="177" s="1" customFormat="1" spans="1:36">
      <c r="A177" s="176"/>
      <c r="B177" s="176"/>
      <c r="C177" s="177"/>
      <c r="D177" s="177"/>
      <c r="E177" s="177"/>
      <c r="F177" s="176"/>
      <c r="G177" s="176"/>
      <c r="H177" s="176"/>
      <c r="J177" s="178"/>
      <c r="K177" s="179"/>
      <c r="L177" s="180"/>
      <c r="M177" s="179"/>
      <c r="N177" s="181"/>
      <c r="O177" s="179"/>
      <c r="P177" s="182"/>
      <c r="Q177" s="179"/>
      <c r="R177" s="183"/>
      <c r="S177" s="179"/>
      <c r="T177" s="182"/>
      <c r="U177" s="179"/>
      <c r="V177" s="182"/>
      <c r="W177" s="179"/>
      <c r="X177" s="180"/>
      <c r="Y177" s="179"/>
      <c r="Z177" s="180"/>
      <c r="AA177" s="184"/>
      <c r="AB177" s="180"/>
      <c r="AC177" s="179"/>
      <c r="AD177" s="183"/>
      <c r="AE177" s="185"/>
      <c r="AF177" s="183"/>
      <c r="AG177" s="191"/>
      <c r="AI177" s="187"/>
      <c r="AJ177" s="85"/>
    </row>
    <row r="178" s="1" customFormat="1" spans="1:36">
      <c r="A178" s="176"/>
      <c r="B178" s="176"/>
      <c r="C178" s="177"/>
      <c r="D178" s="177"/>
      <c r="E178" s="177"/>
      <c r="F178" s="176"/>
      <c r="G178" s="176"/>
      <c r="H178" s="176"/>
      <c r="J178" s="178"/>
      <c r="K178" s="179"/>
      <c r="L178" s="180"/>
      <c r="M178" s="179"/>
      <c r="N178" s="181"/>
      <c r="O178" s="179"/>
      <c r="P178" s="182"/>
      <c r="Q178" s="179"/>
      <c r="R178" s="183"/>
      <c r="S178" s="179"/>
      <c r="T178" s="182"/>
      <c r="U178" s="179"/>
      <c r="V178" s="182"/>
      <c r="W178" s="179"/>
      <c r="X178" s="180"/>
      <c r="Y178" s="179"/>
      <c r="Z178" s="180"/>
      <c r="AA178" s="184"/>
      <c r="AB178" s="180"/>
      <c r="AC178" s="179"/>
      <c r="AD178" s="183"/>
      <c r="AE178" s="185"/>
      <c r="AF178" s="183"/>
      <c r="AG178" s="191"/>
      <c r="AI178" s="187"/>
      <c r="AJ178" s="85"/>
    </row>
    <row r="179" s="1" customFormat="1" spans="1:36">
      <c r="A179" s="176"/>
      <c r="B179" s="176"/>
      <c r="C179" s="177"/>
      <c r="D179" s="177"/>
      <c r="E179" s="177"/>
      <c r="F179" s="176"/>
      <c r="G179" s="176"/>
      <c r="H179" s="176"/>
      <c r="J179" s="178"/>
      <c r="K179" s="179"/>
      <c r="L179" s="180"/>
      <c r="M179" s="179"/>
      <c r="N179" s="181"/>
      <c r="O179" s="179"/>
      <c r="P179" s="182"/>
      <c r="Q179" s="179"/>
      <c r="R179" s="183"/>
      <c r="S179" s="179"/>
      <c r="T179" s="182"/>
      <c r="U179" s="179"/>
      <c r="V179" s="182"/>
      <c r="W179" s="179"/>
      <c r="X179" s="180"/>
      <c r="Y179" s="179"/>
      <c r="Z179" s="180"/>
      <c r="AA179" s="184"/>
      <c r="AB179" s="180"/>
      <c r="AC179" s="179"/>
      <c r="AD179" s="183"/>
      <c r="AE179" s="185"/>
      <c r="AF179" s="183"/>
      <c r="AG179" s="191"/>
      <c r="AI179" s="187"/>
      <c r="AJ179" s="85"/>
    </row>
    <row r="180" s="1" customFormat="1" spans="1:36">
      <c r="A180" s="176"/>
      <c r="B180" s="176"/>
      <c r="C180" s="177"/>
      <c r="D180" s="177"/>
      <c r="E180" s="177"/>
      <c r="F180" s="176"/>
      <c r="G180" s="176"/>
      <c r="H180" s="176"/>
      <c r="J180" s="178"/>
      <c r="K180" s="179"/>
      <c r="L180" s="180"/>
      <c r="M180" s="179"/>
      <c r="N180" s="181"/>
      <c r="O180" s="179"/>
      <c r="P180" s="182"/>
      <c r="Q180" s="179"/>
      <c r="R180" s="183"/>
      <c r="S180" s="179"/>
      <c r="T180" s="182"/>
      <c r="U180" s="179"/>
      <c r="V180" s="182"/>
      <c r="W180" s="179"/>
      <c r="X180" s="180"/>
      <c r="Y180" s="179"/>
      <c r="Z180" s="180"/>
      <c r="AA180" s="184"/>
      <c r="AB180" s="180"/>
      <c r="AC180" s="179"/>
      <c r="AD180" s="183"/>
      <c r="AE180" s="185"/>
      <c r="AF180" s="183"/>
      <c r="AG180" s="191"/>
      <c r="AI180" s="187"/>
      <c r="AJ180" s="85"/>
    </row>
    <row r="181" s="1" customFormat="1" spans="1:36">
      <c r="A181" s="176"/>
      <c r="B181" s="176"/>
      <c r="C181" s="177"/>
      <c r="D181" s="177"/>
      <c r="E181" s="177"/>
      <c r="F181" s="176"/>
      <c r="G181" s="176"/>
      <c r="H181" s="176"/>
      <c r="J181" s="178"/>
      <c r="K181" s="179"/>
      <c r="L181" s="180"/>
      <c r="M181" s="179"/>
      <c r="N181" s="181"/>
      <c r="O181" s="179"/>
      <c r="P181" s="182"/>
      <c r="Q181" s="179"/>
      <c r="R181" s="183"/>
      <c r="S181" s="179"/>
      <c r="T181" s="182"/>
      <c r="U181" s="179"/>
      <c r="V181" s="182"/>
      <c r="W181" s="179"/>
      <c r="X181" s="180"/>
      <c r="Y181" s="179"/>
      <c r="Z181" s="180"/>
      <c r="AA181" s="184"/>
      <c r="AB181" s="180"/>
      <c r="AC181" s="179"/>
      <c r="AD181" s="183"/>
      <c r="AE181" s="185"/>
      <c r="AF181" s="183"/>
      <c r="AG181" s="191"/>
      <c r="AI181" s="187"/>
      <c r="AJ181" s="85"/>
    </row>
    <row r="182" s="1" customFormat="1" spans="1:36">
      <c r="A182" s="176"/>
      <c r="B182" s="176"/>
      <c r="C182" s="177"/>
      <c r="D182" s="177"/>
      <c r="E182" s="177"/>
      <c r="F182" s="176"/>
      <c r="G182" s="176"/>
      <c r="H182" s="176"/>
      <c r="J182" s="178"/>
      <c r="K182" s="179"/>
      <c r="L182" s="180"/>
      <c r="M182" s="179"/>
      <c r="N182" s="181"/>
      <c r="O182" s="179"/>
      <c r="P182" s="182"/>
      <c r="Q182" s="179"/>
      <c r="R182" s="183"/>
      <c r="S182" s="179"/>
      <c r="T182" s="182"/>
      <c r="U182" s="179"/>
      <c r="V182" s="182"/>
      <c r="W182" s="179"/>
      <c r="X182" s="180"/>
      <c r="Y182" s="179"/>
      <c r="Z182" s="180"/>
      <c r="AA182" s="184"/>
      <c r="AB182" s="180"/>
      <c r="AC182" s="179"/>
      <c r="AD182" s="183"/>
      <c r="AE182" s="185"/>
      <c r="AF182" s="183"/>
      <c r="AG182" s="191"/>
      <c r="AI182" s="187"/>
      <c r="AJ182" s="85"/>
    </row>
    <row r="183" s="1" customFormat="1" spans="1:36">
      <c r="A183" s="176"/>
      <c r="B183" s="176"/>
      <c r="C183" s="177"/>
      <c r="D183" s="177"/>
      <c r="E183" s="177"/>
      <c r="F183" s="176"/>
      <c r="G183" s="176"/>
      <c r="H183" s="176"/>
      <c r="J183" s="178"/>
      <c r="K183" s="179"/>
      <c r="L183" s="180"/>
      <c r="M183" s="179"/>
      <c r="N183" s="181"/>
      <c r="O183" s="179"/>
      <c r="P183" s="182"/>
      <c r="Q183" s="179"/>
      <c r="R183" s="183"/>
      <c r="S183" s="179"/>
      <c r="T183" s="182"/>
      <c r="U183" s="179"/>
      <c r="V183" s="182"/>
      <c r="W183" s="179"/>
      <c r="X183" s="180"/>
      <c r="Y183" s="179"/>
      <c r="Z183" s="180"/>
      <c r="AA183" s="184"/>
      <c r="AB183" s="180"/>
      <c r="AC183" s="179"/>
      <c r="AD183" s="183"/>
      <c r="AE183" s="185"/>
      <c r="AF183" s="183"/>
      <c r="AG183" s="191"/>
      <c r="AI183" s="187"/>
      <c r="AJ183" s="85"/>
    </row>
    <row r="184" s="1" customFormat="1" spans="1:36">
      <c r="A184" s="176"/>
      <c r="B184" s="176"/>
      <c r="C184" s="177"/>
      <c r="D184" s="177"/>
      <c r="E184" s="177"/>
      <c r="F184" s="176"/>
      <c r="G184" s="176"/>
      <c r="H184" s="176"/>
      <c r="J184" s="178"/>
      <c r="K184" s="179"/>
      <c r="L184" s="180"/>
      <c r="M184" s="179"/>
      <c r="N184" s="181"/>
      <c r="O184" s="179"/>
      <c r="P184" s="182"/>
      <c r="Q184" s="179"/>
      <c r="R184" s="183"/>
      <c r="S184" s="179"/>
      <c r="T184" s="182"/>
      <c r="U184" s="179"/>
      <c r="V184" s="182"/>
      <c r="W184" s="179"/>
      <c r="X184" s="180"/>
      <c r="Y184" s="179"/>
      <c r="Z184" s="180"/>
      <c r="AA184" s="184"/>
      <c r="AB184" s="180"/>
      <c r="AC184" s="179"/>
      <c r="AD184" s="183"/>
      <c r="AE184" s="185"/>
      <c r="AF184" s="183"/>
      <c r="AG184" s="191"/>
      <c r="AI184" s="187"/>
      <c r="AJ184" s="85"/>
    </row>
    <row r="185" s="1" customFormat="1" spans="1:36">
      <c r="A185" s="176"/>
      <c r="B185" s="176"/>
      <c r="C185" s="177"/>
      <c r="D185" s="177"/>
      <c r="E185" s="177"/>
      <c r="F185" s="176"/>
      <c r="G185" s="176"/>
      <c r="H185" s="176"/>
      <c r="J185" s="178"/>
      <c r="K185" s="179"/>
      <c r="L185" s="180"/>
      <c r="M185" s="179"/>
      <c r="N185" s="181"/>
      <c r="O185" s="179"/>
      <c r="P185" s="182"/>
      <c r="Q185" s="179"/>
      <c r="R185" s="183"/>
      <c r="S185" s="179"/>
      <c r="T185" s="182"/>
      <c r="U185" s="179"/>
      <c r="V185" s="182"/>
      <c r="W185" s="179"/>
      <c r="X185" s="180"/>
      <c r="Y185" s="179"/>
      <c r="Z185" s="180"/>
      <c r="AA185" s="184"/>
      <c r="AB185" s="180"/>
      <c r="AC185" s="179"/>
      <c r="AD185" s="183"/>
      <c r="AE185" s="185"/>
      <c r="AF185" s="183"/>
      <c r="AG185" s="191"/>
      <c r="AI185" s="187"/>
      <c r="AJ185" s="85"/>
    </row>
    <row r="186" s="1" customFormat="1" spans="1:36">
      <c r="A186" s="176"/>
      <c r="B186" s="176"/>
      <c r="C186" s="177"/>
      <c r="D186" s="177"/>
      <c r="E186" s="177"/>
      <c r="F186" s="176"/>
      <c r="G186" s="176"/>
      <c r="H186" s="176"/>
      <c r="J186" s="178"/>
      <c r="K186" s="179"/>
      <c r="L186" s="180"/>
      <c r="M186" s="179"/>
      <c r="N186" s="181"/>
      <c r="O186" s="179"/>
      <c r="P186" s="182"/>
      <c r="Q186" s="179"/>
      <c r="R186" s="183"/>
      <c r="S186" s="179"/>
      <c r="T186" s="182"/>
      <c r="U186" s="179"/>
      <c r="V186" s="182"/>
      <c r="W186" s="179"/>
      <c r="X186" s="180"/>
      <c r="Y186" s="179"/>
      <c r="Z186" s="180"/>
      <c r="AA186" s="184"/>
      <c r="AB186" s="180"/>
      <c r="AC186" s="179"/>
      <c r="AD186" s="183"/>
      <c r="AE186" s="185"/>
      <c r="AF186" s="183"/>
      <c r="AG186" s="191"/>
      <c r="AI186" s="187"/>
      <c r="AJ186" s="85"/>
    </row>
    <row r="187" s="1" customFormat="1" spans="1:36">
      <c r="A187" s="176"/>
      <c r="B187" s="176"/>
      <c r="C187" s="177"/>
      <c r="D187" s="177"/>
      <c r="E187" s="177"/>
      <c r="F187" s="176"/>
      <c r="G187" s="176"/>
      <c r="H187" s="176"/>
      <c r="J187" s="178"/>
      <c r="K187" s="179"/>
      <c r="L187" s="180"/>
      <c r="M187" s="179"/>
      <c r="N187" s="181"/>
      <c r="O187" s="179"/>
      <c r="P187" s="182"/>
      <c r="Q187" s="179"/>
      <c r="R187" s="183"/>
      <c r="S187" s="179"/>
      <c r="T187" s="182"/>
      <c r="U187" s="179"/>
      <c r="V187" s="182"/>
      <c r="W187" s="179"/>
      <c r="X187" s="180"/>
      <c r="Y187" s="179"/>
      <c r="Z187" s="180"/>
      <c r="AA187" s="184"/>
      <c r="AB187" s="180"/>
      <c r="AC187" s="179"/>
      <c r="AD187" s="183"/>
      <c r="AE187" s="185"/>
      <c r="AF187" s="183"/>
      <c r="AG187" s="191"/>
      <c r="AI187" s="187"/>
      <c r="AJ187" s="85"/>
    </row>
    <row r="188" s="1" customFormat="1" spans="1:36">
      <c r="A188" s="176"/>
      <c r="B188" s="176"/>
      <c r="C188" s="177"/>
      <c r="D188" s="177"/>
      <c r="E188" s="177"/>
      <c r="F188" s="176"/>
      <c r="G188" s="176"/>
      <c r="H188" s="176"/>
      <c r="J188" s="178"/>
      <c r="K188" s="179"/>
      <c r="L188" s="180"/>
      <c r="M188" s="179"/>
      <c r="N188" s="181"/>
      <c r="O188" s="179"/>
      <c r="P188" s="182"/>
      <c r="Q188" s="179"/>
      <c r="R188" s="183"/>
      <c r="S188" s="179"/>
      <c r="T188" s="182"/>
      <c r="U188" s="179"/>
      <c r="V188" s="182"/>
      <c r="W188" s="179"/>
      <c r="X188" s="180"/>
      <c r="Y188" s="179"/>
      <c r="Z188" s="180"/>
      <c r="AA188" s="184"/>
      <c r="AB188" s="180"/>
      <c r="AC188" s="179"/>
      <c r="AD188" s="183"/>
      <c r="AE188" s="185"/>
      <c r="AF188" s="183"/>
      <c r="AG188" s="191"/>
      <c r="AI188" s="187"/>
      <c r="AJ188" s="85"/>
    </row>
    <row r="189" s="1" customFormat="1" spans="1:36">
      <c r="A189" s="176"/>
      <c r="B189" s="176"/>
      <c r="C189" s="177"/>
      <c r="D189" s="177"/>
      <c r="E189" s="177"/>
      <c r="F189" s="176"/>
      <c r="G189" s="176"/>
      <c r="H189" s="176"/>
      <c r="J189" s="178"/>
      <c r="K189" s="179"/>
      <c r="L189" s="180"/>
      <c r="M189" s="179"/>
      <c r="N189" s="181"/>
      <c r="O189" s="179"/>
      <c r="P189" s="182"/>
      <c r="Q189" s="179"/>
      <c r="R189" s="183"/>
      <c r="S189" s="179"/>
      <c r="T189" s="182"/>
      <c r="U189" s="179"/>
      <c r="V189" s="182"/>
      <c r="W189" s="179"/>
      <c r="X189" s="180"/>
      <c r="Y189" s="179"/>
      <c r="Z189" s="180"/>
      <c r="AA189" s="184"/>
      <c r="AB189" s="180"/>
      <c r="AC189" s="179"/>
      <c r="AD189" s="183"/>
      <c r="AE189" s="185"/>
      <c r="AF189" s="183"/>
      <c r="AG189" s="191"/>
      <c r="AI189" s="187"/>
      <c r="AJ189" s="85"/>
    </row>
    <row r="190" s="1" customFormat="1" spans="1:36">
      <c r="A190" s="176"/>
      <c r="B190" s="176"/>
      <c r="C190" s="177"/>
      <c r="D190" s="177"/>
      <c r="E190" s="177"/>
      <c r="F190" s="176"/>
      <c r="G190" s="176"/>
      <c r="H190" s="176"/>
      <c r="J190" s="178"/>
      <c r="K190" s="179"/>
      <c r="L190" s="180"/>
      <c r="M190" s="179"/>
      <c r="N190" s="181"/>
      <c r="O190" s="179"/>
      <c r="P190" s="182"/>
      <c r="Q190" s="179"/>
      <c r="R190" s="183"/>
      <c r="S190" s="179"/>
      <c r="T190" s="182"/>
      <c r="U190" s="179"/>
      <c r="V190" s="182"/>
      <c r="W190" s="179"/>
      <c r="X190" s="180"/>
      <c r="Y190" s="179"/>
      <c r="Z190" s="180"/>
      <c r="AA190" s="184"/>
      <c r="AB190" s="180"/>
      <c r="AC190" s="179"/>
      <c r="AD190" s="183"/>
      <c r="AE190" s="185"/>
      <c r="AF190" s="183"/>
      <c r="AG190" s="191"/>
      <c r="AI190" s="187"/>
      <c r="AJ190" s="85"/>
    </row>
    <row r="191" s="1" customFormat="1" spans="1:36">
      <c r="A191" s="176"/>
      <c r="B191" s="176"/>
      <c r="C191" s="177"/>
      <c r="D191" s="177"/>
      <c r="E191" s="177"/>
      <c r="F191" s="176"/>
      <c r="G191" s="176"/>
      <c r="H191" s="176"/>
      <c r="J191" s="178"/>
      <c r="K191" s="179"/>
      <c r="L191" s="180"/>
      <c r="M191" s="179"/>
      <c r="N191" s="181"/>
      <c r="O191" s="179"/>
      <c r="P191" s="182"/>
      <c r="Q191" s="179"/>
      <c r="R191" s="183"/>
      <c r="S191" s="179"/>
      <c r="T191" s="182"/>
      <c r="U191" s="179"/>
      <c r="V191" s="182"/>
      <c r="W191" s="179"/>
      <c r="X191" s="180"/>
      <c r="Y191" s="179"/>
      <c r="Z191" s="180"/>
      <c r="AA191" s="184"/>
      <c r="AB191" s="180"/>
      <c r="AC191" s="179"/>
      <c r="AD191" s="183"/>
      <c r="AE191" s="185"/>
      <c r="AF191" s="183"/>
      <c r="AG191" s="191"/>
      <c r="AI191" s="187"/>
      <c r="AJ191" s="85"/>
    </row>
    <row r="192" s="1" customFormat="1" spans="1:36">
      <c r="A192" s="176"/>
      <c r="B192" s="176"/>
      <c r="C192" s="177"/>
      <c r="D192" s="177"/>
      <c r="E192" s="177"/>
      <c r="F192" s="176"/>
      <c r="G192" s="176"/>
      <c r="H192" s="176"/>
      <c r="J192" s="178"/>
      <c r="K192" s="179"/>
      <c r="L192" s="180"/>
      <c r="M192" s="179"/>
      <c r="N192" s="181"/>
      <c r="O192" s="179"/>
      <c r="P192" s="182"/>
      <c r="Q192" s="179"/>
      <c r="R192" s="183"/>
      <c r="S192" s="179"/>
      <c r="T192" s="182"/>
      <c r="U192" s="179"/>
      <c r="V192" s="182"/>
      <c r="W192" s="179"/>
      <c r="X192" s="180"/>
      <c r="Y192" s="179"/>
      <c r="Z192" s="180"/>
      <c r="AA192" s="184"/>
      <c r="AB192" s="180"/>
      <c r="AC192" s="179"/>
      <c r="AD192" s="183"/>
      <c r="AE192" s="185"/>
      <c r="AF192" s="183"/>
      <c r="AG192" s="191"/>
      <c r="AI192" s="187"/>
      <c r="AJ192" s="85"/>
    </row>
    <row r="193" s="1" customFormat="1" spans="1:36">
      <c r="A193" s="176"/>
      <c r="B193" s="176"/>
      <c r="C193" s="177"/>
      <c r="D193" s="177"/>
      <c r="E193" s="177"/>
      <c r="F193" s="176"/>
      <c r="G193" s="176"/>
      <c r="H193" s="176"/>
      <c r="J193" s="178"/>
      <c r="K193" s="179"/>
      <c r="L193" s="180"/>
      <c r="M193" s="179"/>
      <c r="N193" s="181"/>
      <c r="O193" s="179"/>
      <c r="P193" s="182"/>
      <c r="Q193" s="179"/>
      <c r="R193" s="183"/>
      <c r="S193" s="179"/>
      <c r="T193" s="182"/>
      <c r="U193" s="179"/>
      <c r="V193" s="182"/>
      <c r="W193" s="179"/>
      <c r="X193" s="180"/>
      <c r="Y193" s="179"/>
      <c r="Z193" s="180"/>
      <c r="AA193" s="184"/>
      <c r="AB193" s="180"/>
      <c r="AC193" s="179"/>
      <c r="AD193" s="183"/>
      <c r="AE193" s="185"/>
      <c r="AF193" s="183"/>
      <c r="AG193" s="191"/>
      <c r="AI193" s="187"/>
      <c r="AJ193" s="85"/>
    </row>
    <row r="194" s="1" customFormat="1" spans="1:36">
      <c r="A194" s="176"/>
      <c r="B194" s="176"/>
      <c r="C194" s="177"/>
      <c r="D194" s="177"/>
      <c r="E194" s="177"/>
      <c r="F194" s="176"/>
      <c r="G194" s="176"/>
      <c r="H194" s="176"/>
      <c r="J194" s="178"/>
      <c r="K194" s="179"/>
      <c r="L194" s="180"/>
      <c r="M194" s="179"/>
      <c r="N194" s="181"/>
      <c r="O194" s="179"/>
      <c r="P194" s="182"/>
      <c r="Q194" s="179"/>
      <c r="R194" s="183"/>
      <c r="S194" s="179"/>
      <c r="T194" s="182"/>
      <c r="U194" s="179"/>
      <c r="V194" s="182"/>
      <c r="W194" s="179"/>
      <c r="X194" s="180"/>
      <c r="Y194" s="179"/>
      <c r="Z194" s="180"/>
      <c r="AA194" s="184"/>
      <c r="AB194" s="180"/>
      <c r="AC194" s="179"/>
      <c r="AD194" s="183"/>
      <c r="AE194" s="185"/>
      <c r="AF194" s="183"/>
      <c r="AG194" s="191"/>
      <c r="AI194" s="187"/>
      <c r="AJ194" s="85"/>
    </row>
    <row r="195" s="1" customFormat="1" spans="1:36">
      <c r="A195" s="176"/>
      <c r="B195" s="176"/>
      <c r="C195" s="177"/>
      <c r="D195" s="177"/>
      <c r="E195" s="177"/>
      <c r="F195" s="176"/>
      <c r="G195" s="176"/>
      <c r="H195" s="176"/>
      <c r="J195" s="178"/>
      <c r="K195" s="179"/>
      <c r="L195" s="180"/>
      <c r="M195" s="179"/>
      <c r="N195" s="181"/>
      <c r="O195" s="179"/>
      <c r="P195" s="182"/>
      <c r="Q195" s="179"/>
      <c r="R195" s="183"/>
      <c r="S195" s="179"/>
      <c r="T195" s="182"/>
      <c r="U195" s="179"/>
      <c r="V195" s="182"/>
      <c r="W195" s="179"/>
      <c r="X195" s="180"/>
      <c r="Y195" s="179"/>
      <c r="Z195" s="180"/>
      <c r="AA195" s="184"/>
      <c r="AB195" s="180"/>
      <c r="AC195" s="179"/>
      <c r="AD195" s="183"/>
      <c r="AE195" s="185"/>
      <c r="AF195" s="183"/>
      <c r="AG195" s="191"/>
      <c r="AI195" s="187"/>
      <c r="AJ195" s="85"/>
    </row>
    <row r="196" s="1" customFormat="1" spans="1:36">
      <c r="A196" s="176"/>
      <c r="B196" s="176"/>
      <c r="C196" s="177"/>
      <c r="D196" s="177"/>
      <c r="E196" s="177"/>
      <c r="F196" s="176"/>
      <c r="G196" s="176"/>
      <c r="H196" s="176"/>
      <c r="J196" s="178"/>
      <c r="K196" s="179"/>
      <c r="L196" s="180"/>
      <c r="M196" s="179"/>
      <c r="N196" s="181"/>
      <c r="O196" s="179"/>
      <c r="P196" s="182"/>
      <c r="Q196" s="179"/>
      <c r="R196" s="183"/>
      <c r="S196" s="179"/>
      <c r="T196" s="182"/>
      <c r="U196" s="179"/>
      <c r="V196" s="182"/>
      <c r="W196" s="179"/>
      <c r="X196" s="180"/>
      <c r="Y196" s="179"/>
      <c r="Z196" s="180"/>
      <c r="AA196" s="184"/>
      <c r="AB196" s="180"/>
      <c r="AC196" s="179"/>
      <c r="AD196" s="183"/>
      <c r="AE196" s="185"/>
      <c r="AF196" s="183"/>
      <c r="AG196" s="191"/>
      <c r="AI196" s="187"/>
      <c r="AJ196" s="85"/>
    </row>
    <row r="197" s="1" customFormat="1" spans="1:36">
      <c r="A197" s="176"/>
      <c r="B197" s="176"/>
      <c r="C197" s="177"/>
      <c r="D197" s="177"/>
      <c r="E197" s="177"/>
      <c r="F197" s="176"/>
      <c r="G197" s="176"/>
      <c r="H197" s="176"/>
      <c r="J197" s="178"/>
      <c r="K197" s="179"/>
      <c r="L197" s="180"/>
      <c r="M197" s="179"/>
      <c r="N197" s="181"/>
      <c r="O197" s="179"/>
      <c r="P197" s="182"/>
      <c r="Q197" s="179"/>
      <c r="R197" s="183"/>
      <c r="S197" s="179"/>
      <c r="T197" s="182"/>
      <c r="U197" s="179"/>
      <c r="V197" s="182"/>
      <c r="W197" s="179"/>
      <c r="X197" s="180"/>
      <c r="Y197" s="179"/>
      <c r="Z197" s="180"/>
      <c r="AA197" s="184"/>
      <c r="AB197" s="180"/>
      <c r="AC197" s="179"/>
      <c r="AD197" s="183"/>
      <c r="AE197" s="185"/>
      <c r="AF197" s="183"/>
      <c r="AG197" s="191"/>
      <c r="AI197" s="187"/>
      <c r="AJ197" s="85"/>
    </row>
    <row r="198" s="1" customFormat="1" spans="1:36">
      <c r="A198" s="176"/>
      <c r="B198" s="176"/>
      <c r="C198" s="177"/>
      <c r="D198" s="177"/>
      <c r="E198" s="177"/>
      <c r="F198" s="176"/>
      <c r="G198" s="176"/>
      <c r="H198" s="176"/>
      <c r="J198" s="178"/>
      <c r="K198" s="179"/>
      <c r="L198" s="180"/>
      <c r="M198" s="179"/>
      <c r="N198" s="181"/>
      <c r="O198" s="179"/>
      <c r="P198" s="182"/>
      <c r="Q198" s="179"/>
      <c r="R198" s="183"/>
      <c r="S198" s="179"/>
      <c r="T198" s="182"/>
      <c r="U198" s="179"/>
      <c r="V198" s="182"/>
      <c r="W198" s="179"/>
      <c r="X198" s="180"/>
      <c r="Y198" s="179"/>
      <c r="Z198" s="180"/>
      <c r="AA198" s="184"/>
      <c r="AB198" s="180"/>
      <c r="AC198" s="179"/>
      <c r="AD198" s="183"/>
      <c r="AE198" s="185"/>
      <c r="AF198" s="183"/>
      <c r="AG198" s="191"/>
      <c r="AI198" s="187"/>
      <c r="AJ198" s="85"/>
    </row>
    <row r="199" s="1" customFormat="1" spans="1:36">
      <c r="A199" s="176"/>
      <c r="B199" s="176"/>
      <c r="C199" s="177"/>
      <c r="D199" s="177"/>
      <c r="E199" s="177"/>
      <c r="F199" s="176"/>
      <c r="G199" s="176"/>
      <c r="H199" s="176"/>
      <c r="J199" s="178"/>
      <c r="K199" s="179"/>
      <c r="L199" s="180"/>
      <c r="M199" s="179"/>
      <c r="N199" s="181"/>
      <c r="O199" s="179"/>
      <c r="P199" s="182"/>
      <c r="Q199" s="179"/>
      <c r="R199" s="183"/>
      <c r="S199" s="179"/>
      <c r="T199" s="182"/>
      <c r="U199" s="179"/>
      <c r="V199" s="182"/>
      <c r="W199" s="179"/>
      <c r="X199" s="180"/>
      <c r="Y199" s="179"/>
      <c r="Z199" s="180"/>
      <c r="AA199" s="184"/>
      <c r="AB199" s="180"/>
      <c r="AC199" s="179"/>
      <c r="AD199" s="183"/>
      <c r="AE199" s="185"/>
      <c r="AF199" s="183"/>
      <c r="AG199" s="191"/>
      <c r="AI199" s="187"/>
      <c r="AJ199" s="85"/>
    </row>
    <row r="200" s="1" customFormat="1" spans="1:36">
      <c r="A200" s="176"/>
      <c r="B200" s="176"/>
      <c r="C200" s="177"/>
      <c r="D200" s="177"/>
      <c r="E200" s="177"/>
      <c r="F200" s="176"/>
      <c r="G200" s="176"/>
      <c r="H200" s="176"/>
      <c r="J200" s="178"/>
      <c r="K200" s="179"/>
      <c r="L200" s="180"/>
      <c r="M200" s="179"/>
      <c r="N200" s="181"/>
      <c r="O200" s="179"/>
      <c r="P200" s="182"/>
      <c r="Q200" s="179"/>
      <c r="R200" s="183"/>
      <c r="S200" s="179"/>
      <c r="T200" s="182"/>
      <c r="U200" s="179"/>
      <c r="V200" s="182"/>
      <c r="W200" s="179"/>
      <c r="X200" s="180"/>
      <c r="Y200" s="179"/>
      <c r="Z200" s="180"/>
      <c r="AA200" s="184"/>
      <c r="AB200" s="180"/>
      <c r="AC200" s="179"/>
      <c r="AD200" s="183"/>
      <c r="AE200" s="185"/>
      <c r="AF200" s="183"/>
      <c r="AG200" s="191"/>
      <c r="AI200" s="187"/>
      <c r="AJ200" s="85"/>
    </row>
    <row r="201" s="1" customFormat="1" spans="1:36">
      <c r="A201" s="176"/>
      <c r="B201" s="176"/>
      <c r="C201" s="177"/>
      <c r="D201" s="177"/>
      <c r="E201" s="177"/>
      <c r="F201" s="176"/>
      <c r="G201" s="176"/>
      <c r="H201" s="176"/>
      <c r="J201" s="178"/>
      <c r="K201" s="179"/>
      <c r="L201" s="180"/>
      <c r="M201" s="179"/>
      <c r="N201" s="181"/>
      <c r="O201" s="179"/>
      <c r="P201" s="182"/>
      <c r="Q201" s="179"/>
      <c r="R201" s="183"/>
      <c r="S201" s="179"/>
      <c r="T201" s="182"/>
      <c r="U201" s="179"/>
      <c r="V201" s="182"/>
      <c r="W201" s="179"/>
      <c r="X201" s="180"/>
      <c r="Y201" s="179"/>
      <c r="Z201" s="180"/>
      <c r="AA201" s="184"/>
      <c r="AB201" s="180"/>
      <c r="AC201" s="179"/>
      <c r="AD201" s="183"/>
      <c r="AE201" s="185"/>
      <c r="AF201" s="183"/>
      <c r="AG201" s="191"/>
      <c r="AI201" s="187"/>
      <c r="AJ201" s="85"/>
    </row>
    <row r="202" s="1" customFormat="1" spans="1:36">
      <c r="A202" s="176"/>
      <c r="B202" s="176"/>
      <c r="C202" s="177"/>
      <c r="D202" s="177"/>
      <c r="E202" s="177"/>
      <c r="F202" s="176"/>
      <c r="G202" s="176"/>
      <c r="H202" s="176"/>
      <c r="J202" s="178"/>
      <c r="K202" s="179"/>
      <c r="L202" s="180"/>
      <c r="M202" s="179"/>
      <c r="N202" s="181"/>
      <c r="O202" s="179"/>
      <c r="P202" s="182"/>
      <c r="Q202" s="179"/>
      <c r="R202" s="183"/>
      <c r="S202" s="179"/>
      <c r="T202" s="182"/>
      <c r="U202" s="179"/>
      <c r="V202" s="182"/>
      <c r="W202" s="179"/>
      <c r="X202" s="180"/>
      <c r="Y202" s="179"/>
      <c r="Z202" s="180"/>
      <c r="AA202" s="184"/>
      <c r="AB202" s="180"/>
      <c r="AC202" s="179"/>
      <c r="AD202" s="183"/>
      <c r="AE202" s="185"/>
      <c r="AF202" s="183"/>
      <c r="AG202" s="191"/>
      <c r="AI202" s="187"/>
      <c r="AJ202" s="85"/>
    </row>
    <row r="203" s="1" customFormat="1" spans="1:36">
      <c r="A203" s="176"/>
      <c r="B203" s="176"/>
      <c r="C203" s="177"/>
      <c r="D203" s="177"/>
      <c r="E203" s="177"/>
      <c r="F203" s="176"/>
      <c r="G203" s="176"/>
      <c r="H203" s="176"/>
      <c r="J203" s="178"/>
      <c r="K203" s="179"/>
      <c r="L203" s="180"/>
      <c r="M203" s="179"/>
      <c r="N203" s="181"/>
      <c r="O203" s="179"/>
      <c r="P203" s="182"/>
      <c r="Q203" s="179"/>
      <c r="R203" s="183"/>
      <c r="S203" s="179"/>
      <c r="T203" s="182"/>
      <c r="U203" s="179"/>
      <c r="V203" s="182"/>
      <c r="W203" s="179"/>
      <c r="X203" s="180"/>
      <c r="Y203" s="179"/>
      <c r="Z203" s="180"/>
      <c r="AA203" s="184"/>
      <c r="AB203" s="180"/>
      <c r="AC203" s="179"/>
      <c r="AD203" s="183"/>
      <c r="AE203" s="185"/>
      <c r="AF203" s="183"/>
      <c r="AG203" s="191"/>
      <c r="AI203" s="187"/>
      <c r="AJ203" s="85"/>
    </row>
    <row r="204" s="1" customFormat="1" spans="1:36">
      <c r="A204" s="176"/>
      <c r="B204" s="176"/>
      <c r="C204" s="177"/>
      <c r="D204" s="177"/>
      <c r="E204" s="177"/>
      <c r="F204" s="176"/>
      <c r="G204" s="176"/>
      <c r="H204" s="176"/>
      <c r="J204" s="178"/>
      <c r="K204" s="179"/>
      <c r="L204" s="180"/>
      <c r="M204" s="179"/>
      <c r="N204" s="181"/>
      <c r="O204" s="179"/>
      <c r="P204" s="182"/>
      <c r="Q204" s="179"/>
      <c r="R204" s="183"/>
      <c r="S204" s="179"/>
      <c r="T204" s="182"/>
      <c r="U204" s="179"/>
      <c r="V204" s="182"/>
      <c r="W204" s="179"/>
      <c r="X204" s="180"/>
      <c r="Y204" s="179"/>
      <c r="Z204" s="180"/>
      <c r="AA204" s="184"/>
      <c r="AB204" s="180"/>
      <c r="AC204" s="179"/>
      <c r="AD204" s="183"/>
      <c r="AE204" s="185"/>
      <c r="AF204" s="183"/>
      <c r="AG204" s="191"/>
      <c r="AI204" s="187"/>
      <c r="AJ204" s="85"/>
    </row>
    <row r="205" s="1" customFormat="1" spans="1:36">
      <c r="A205" s="176"/>
      <c r="B205" s="176"/>
      <c r="C205" s="177"/>
      <c r="D205" s="177"/>
      <c r="E205" s="177"/>
      <c r="F205" s="176"/>
      <c r="G205" s="176"/>
      <c r="H205" s="176"/>
      <c r="J205" s="178"/>
      <c r="K205" s="179"/>
      <c r="L205" s="180"/>
      <c r="M205" s="179"/>
      <c r="N205" s="181"/>
      <c r="O205" s="179"/>
      <c r="P205" s="182"/>
      <c r="Q205" s="179"/>
      <c r="R205" s="183"/>
      <c r="S205" s="179"/>
      <c r="T205" s="182"/>
      <c r="U205" s="179"/>
      <c r="V205" s="182"/>
      <c r="W205" s="179"/>
      <c r="X205" s="180"/>
      <c r="Y205" s="179"/>
      <c r="Z205" s="180"/>
      <c r="AA205" s="184"/>
      <c r="AB205" s="180"/>
      <c r="AC205" s="179"/>
      <c r="AD205" s="183"/>
      <c r="AE205" s="185"/>
      <c r="AF205" s="183"/>
      <c r="AG205" s="191"/>
      <c r="AI205" s="187"/>
      <c r="AJ205" s="85"/>
    </row>
    <row r="206" s="1" customFormat="1" spans="1:36">
      <c r="A206" s="176"/>
      <c r="B206" s="176"/>
      <c r="C206" s="177"/>
      <c r="D206" s="177"/>
      <c r="E206" s="177"/>
      <c r="F206" s="176"/>
      <c r="G206" s="176"/>
      <c r="H206" s="176"/>
      <c r="J206" s="178"/>
      <c r="K206" s="179"/>
      <c r="L206" s="180"/>
      <c r="M206" s="179"/>
      <c r="N206" s="181"/>
      <c r="O206" s="179"/>
      <c r="P206" s="182"/>
      <c r="Q206" s="179"/>
      <c r="R206" s="183"/>
      <c r="S206" s="179"/>
      <c r="T206" s="182"/>
      <c r="U206" s="179"/>
      <c r="V206" s="182"/>
      <c r="W206" s="179"/>
      <c r="X206" s="180"/>
      <c r="Y206" s="179"/>
      <c r="Z206" s="180"/>
      <c r="AA206" s="184"/>
      <c r="AB206" s="180"/>
      <c r="AC206" s="179"/>
      <c r="AD206" s="183"/>
      <c r="AE206" s="185"/>
      <c r="AF206" s="183"/>
      <c r="AG206" s="191"/>
      <c r="AI206" s="187"/>
      <c r="AJ206" s="85"/>
    </row>
    <row r="207" s="1" customFormat="1" spans="1:36">
      <c r="A207" s="176"/>
      <c r="B207" s="176"/>
      <c r="C207" s="177"/>
      <c r="D207" s="177"/>
      <c r="E207" s="177"/>
      <c r="F207" s="176"/>
      <c r="G207" s="176"/>
      <c r="H207" s="176"/>
      <c r="J207" s="178"/>
      <c r="K207" s="179"/>
      <c r="L207" s="180"/>
      <c r="M207" s="179"/>
      <c r="N207" s="181"/>
      <c r="O207" s="179"/>
      <c r="P207" s="182"/>
      <c r="Q207" s="179"/>
      <c r="R207" s="183"/>
      <c r="S207" s="179"/>
      <c r="T207" s="182"/>
      <c r="U207" s="179"/>
      <c r="V207" s="182"/>
      <c r="W207" s="179"/>
      <c r="X207" s="180"/>
      <c r="Y207" s="179"/>
      <c r="Z207" s="180"/>
      <c r="AA207" s="184"/>
      <c r="AB207" s="180"/>
      <c r="AC207" s="179"/>
      <c r="AD207" s="183"/>
      <c r="AE207" s="185"/>
      <c r="AF207" s="183"/>
      <c r="AG207" s="191"/>
      <c r="AI207" s="187"/>
      <c r="AJ207" s="85"/>
    </row>
    <row r="208" s="1" customFormat="1" spans="1:36">
      <c r="A208" s="176"/>
      <c r="B208" s="176"/>
      <c r="C208" s="177"/>
      <c r="D208" s="177"/>
      <c r="E208" s="177"/>
      <c r="F208" s="176"/>
      <c r="G208" s="176"/>
      <c r="H208" s="176"/>
      <c r="J208" s="178"/>
      <c r="K208" s="179"/>
      <c r="L208" s="180"/>
      <c r="M208" s="179"/>
      <c r="N208" s="181"/>
      <c r="O208" s="179"/>
      <c r="P208" s="182"/>
      <c r="Q208" s="179"/>
      <c r="R208" s="183"/>
      <c r="S208" s="179"/>
      <c r="T208" s="182"/>
      <c r="U208" s="179"/>
      <c r="V208" s="182"/>
      <c r="W208" s="179"/>
      <c r="X208" s="180"/>
      <c r="Y208" s="179"/>
      <c r="Z208" s="180"/>
      <c r="AA208" s="184"/>
      <c r="AB208" s="180"/>
      <c r="AC208" s="179"/>
      <c r="AD208" s="183"/>
      <c r="AE208" s="185"/>
      <c r="AF208" s="183"/>
      <c r="AG208" s="191"/>
      <c r="AI208" s="187"/>
      <c r="AJ208" s="85"/>
    </row>
    <row r="209" s="1" customFormat="1" spans="1:36">
      <c r="A209" s="176"/>
      <c r="B209" s="176"/>
      <c r="C209" s="177"/>
      <c r="D209" s="177"/>
      <c r="E209" s="177"/>
      <c r="F209" s="176"/>
      <c r="G209" s="176"/>
      <c r="H209" s="176"/>
      <c r="J209" s="178"/>
      <c r="K209" s="179"/>
      <c r="L209" s="180"/>
      <c r="M209" s="179"/>
      <c r="N209" s="181"/>
      <c r="O209" s="179"/>
      <c r="P209" s="182"/>
      <c r="Q209" s="179"/>
      <c r="R209" s="183"/>
      <c r="S209" s="179"/>
      <c r="T209" s="182"/>
      <c r="U209" s="179"/>
      <c r="V209" s="182"/>
      <c r="W209" s="179"/>
      <c r="X209" s="180"/>
      <c r="Y209" s="179"/>
      <c r="Z209" s="180"/>
      <c r="AA209" s="184"/>
      <c r="AB209" s="180"/>
      <c r="AC209" s="179"/>
      <c r="AD209" s="183"/>
      <c r="AE209" s="185"/>
      <c r="AF209" s="183"/>
      <c r="AG209" s="191"/>
      <c r="AI209" s="187"/>
      <c r="AJ209" s="85"/>
    </row>
    <row r="210" s="1" customFormat="1" spans="1:36">
      <c r="A210" s="176"/>
      <c r="B210" s="176"/>
      <c r="C210" s="177"/>
      <c r="D210" s="177"/>
      <c r="E210" s="177"/>
      <c r="F210" s="176"/>
      <c r="G210" s="176"/>
      <c r="H210" s="176"/>
      <c r="J210" s="178"/>
      <c r="K210" s="179"/>
      <c r="L210" s="180"/>
      <c r="M210" s="179"/>
      <c r="N210" s="181"/>
      <c r="O210" s="179"/>
      <c r="P210" s="182"/>
      <c r="Q210" s="179"/>
      <c r="R210" s="183"/>
      <c r="S210" s="179"/>
      <c r="T210" s="182"/>
      <c r="U210" s="179"/>
      <c r="V210" s="182"/>
      <c r="W210" s="179"/>
      <c r="X210" s="180"/>
      <c r="Y210" s="179"/>
      <c r="Z210" s="180"/>
      <c r="AA210" s="184"/>
      <c r="AB210" s="180"/>
      <c r="AC210" s="179"/>
      <c r="AD210" s="183"/>
      <c r="AE210" s="185"/>
      <c r="AF210" s="183"/>
      <c r="AG210" s="191"/>
      <c r="AI210" s="187"/>
      <c r="AJ210" s="85"/>
    </row>
    <row r="211" s="1" customFormat="1" spans="1:36">
      <c r="A211" s="176"/>
      <c r="B211" s="176"/>
      <c r="C211" s="177"/>
      <c r="D211" s="177"/>
      <c r="E211" s="177"/>
      <c r="F211" s="176"/>
      <c r="G211" s="176"/>
      <c r="H211" s="176"/>
      <c r="J211" s="178"/>
      <c r="K211" s="179"/>
      <c r="L211" s="180"/>
      <c r="M211" s="179"/>
      <c r="N211" s="181"/>
      <c r="O211" s="179"/>
      <c r="P211" s="182"/>
      <c r="Q211" s="179"/>
      <c r="R211" s="183"/>
      <c r="S211" s="179"/>
      <c r="T211" s="182"/>
      <c r="U211" s="179"/>
      <c r="V211" s="182"/>
      <c r="W211" s="179"/>
      <c r="X211" s="180"/>
      <c r="Y211" s="179"/>
      <c r="Z211" s="180"/>
      <c r="AA211" s="184"/>
      <c r="AB211" s="180"/>
      <c r="AC211" s="179"/>
      <c r="AD211" s="183"/>
      <c r="AE211" s="185"/>
      <c r="AF211" s="183"/>
      <c r="AG211" s="191"/>
      <c r="AI211" s="187"/>
      <c r="AJ211" s="85"/>
    </row>
    <row r="212" s="1" customFormat="1" spans="1:36">
      <c r="A212" s="176"/>
      <c r="B212" s="176"/>
      <c r="C212" s="177"/>
      <c r="D212" s="177"/>
      <c r="E212" s="177"/>
      <c r="F212" s="176"/>
      <c r="G212" s="176"/>
      <c r="H212" s="176"/>
      <c r="J212" s="178"/>
      <c r="K212" s="179"/>
      <c r="L212" s="180"/>
      <c r="M212" s="179"/>
      <c r="N212" s="181"/>
      <c r="O212" s="179"/>
      <c r="P212" s="182"/>
      <c r="Q212" s="179"/>
      <c r="R212" s="183"/>
      <c r="S212" s="179"/>
      <c r="T212" s="182"/>
      <c r="U212" s="179"/>
      <c r="V212" s="182"/>
      <c r="W212" s="179"/>
      <c r="X212" s="180"/>
      <c r="Y212" s="179"/>
      <c r="Z212" s="180"/>
      <c r="AA212" s="184"/>
      <c r="AB212" s="180"/>
      <c r="AC212" s="179"/>
      <c r="AD212" s="183"/>
      <c r="AE212" s="185"/>
      <c r="AF212" s="183"/>
      <c r="AG212" s="191"/>
      <c r="AI212" s="187"/>
      <c r="AJ212" s="85"/>
    </row>
    <row r="213" s="1" customFormat="1" spans="1:36">
      <c r="A213" s="176"/>
      <c r="B213" s="176"/>
      <c r="C213" s="177"/>
      <c r="D213" s="177"/>
      <c r="E213" s="177"/>
      <c r="F213" s="176"/>
      <c r="G213" s="176"/>
      <c r="H213" s="176"/>
      <c r="J213" s="178"/>
      <c r="K213" s="179"/>
      <c r="L213" s="180"/>
      <c r="M213" s="179"/>
      <c r="N213" s="181"/>
      <c r="O213" s="179"/>
      <c r="P213" s="182"/>
      <c r="Q213" s="179"/>
      <c r="R213" s="183"/>
      <c r="S213" s="179"/>
      <c r="T213" s="182"/>
      <c r="U213" s="179"/>
      <c r="V213" s="182"/>
      <c r="W213" s="179"/>
      <c r="X213" s="180"/>
      <c r="Y213" s="179"/>
      <c r="Z213" s="180"/>
      <c r="AA213" s="184"/>
      <c r="AB213" s="180"/>
      <c r="AC213" s="179"/>
      <c r="AD213" s="183"/>
      <c r="AE213" s="185"/>
      <c r="AF213" s="183"/>
      <c r="AG213" s="191"/>
      <c r="AI213" s="187"/>
      <c r="AJ213" s="85"/>
    </row>
    <row r="214" s="1" customFormat="1" spans="1:36">
      <c r="A214" s="176"/>
      <c r="B214" s="176"/>
      <c r="C214" s="177"/>
      <c r="D214" s="177"/>
      <c r="E214" s="177"/>
      <c r="F214" s="176"/>
      <c r="G214" s="176"/>
      <c r="H214" s="176"/>
      <c r="J214" s="178"/>
      <c r="K214" s="179"/>
      <c r="L214" s="180"/>
      <c r="M214" s="179"/>
      <c r="N214" s="181"/>
      <c r="O214" s="179"/>
      <c r="P214" s="182"/>
      <c r="Q214" s="179"/>
      <c r="R214" s="183"/>
      <c r="S214" s="179"/>
      <c r="T214" s="182"/>
      <c r="U214" s="179"/>
      <c r="V214" s="182"/>
      <c r="W214" s="179"/>
      <c r="X214" s="180"/>
      <c r="Y214" s="179"/>
      <c r="Z214" s="180"/>
      <c r="AA214" s="184"/>
      <c r="AB214" s="180"/>
      <c r="AC214" s="179"/>
      <c r="AD214" s="183"/>
      <c r="AE214" s="185"/>
      <c r="AF214" s="183"/>
      <c r="AG214" s="191"/>
      <c r="AI214" s="187"/>
      <c r="AJ214" s="85"/>
    </row>
    <row r="215" s="1" customFormat="1" spans="1:36">
      <c r="A215" s="176"/>
      <c r="B215" s="176"/>
      <c r="C215" s="177"/>
      <c r="D215" s="177"/>
      <c r="E215" s="177"/>
      <c r="F215" s="176"/>
      <c r="G215" s="176"/>
      <c r="H215" s="176"/>
      <c r="J215" s="178"/>
      <c r="K215" s="179"/>
      <c r="L215" s="180"/>
      <c r="M215" s="179"/>
      <c r="N215" s="181"/>
      <c r="O215" s="179"/>
      <c r="P215" s="182"/>
      <c r="Q215" s="179"/>
      <c r="R215" s="183"/>
      <c r="S215" s="179"/>
      <c r="T215" s="182"/>
      <c r="U215" s="179"/>
      <c r="V215" s="182"/>
      <c r="W215" s="179"/>
      <c r="X215" s="180"/>
      <c r="Y215" s="179"/>
      <c r="Z215" s="180"/>
      <c r="AA215" s="184"/>
      <c r="AB215" s="180"/>
      <c r="AC215" s="179"/>
      <c r="AD215" s="183"/>
      <c r="AE215" s="185"/>
      <c r="AF215" s="183"/>
      <c r="AG215" s="191"/>
      <c r="AI215" s="187"/>
      <c r="AJ215" s="85"/>
    </row>
    <row r="216" s="1" customFormat="1" spans="1:36">
      <c r="A216" s="176"/>
      <c r="B216" s="176"/>
      <c r="C216" s="177"/>
      <c r="D216" s="177"/>
      <c r="E216" s="177"/>
      <c r="F216" s="176"/>
      <c r="G216" s="176"/>
      <c r="H216" s="176"/>
      <c r="J216" s="178"/>
      <c r="K216" s="179"/>
      <c r="L216" s="180"/>
      <c r="M216" s="179"/>
      <c r="N216" s="181"/>
      <c r="O216" s="179"/>
      <c r="P216" s="182"/>
      <c r="Q216" s="179"/>
      <c r="R216" s="183"/>
      <c r="S216" s="179"/>
      <c r="T216" s="182"/>
      <c r="U216" s="179"/>
      <c r="V216" s="182"/>
      <c r="W216" s="179"/>
      <c r="X216" s="180"/>
      <c r="Y216" s="179"/>
      <c r="Z216" s="180"/>
      <c r="AA216" s="184"/>
      <c r="AB216" s="180"/>
      <c r="AC216" s="179"/>
      <c r="AD216" s="183"/>
      <c r="AE216" s="185"/>
      <c r="AF216" s="183"/>
      <c r="AG216" s="191"/>
      <c r="AI216" s="187"/>
      <c r="AJ216" s="85"/>
    </row>
    <row r="217" s="1" customFormat="1" spans="1:36">
      <c r="A217" s="176"/>
      <c r="B217" s="176"/>
      <c r="C217" s="177"/>
      <c r="D217" s="177"/>
      <c r="E217" s="177"/>
      <c r="F217" s="176"/>
      <c r="G217" s="176"/>
      <c r="H217" s="176"/>
      <c r="J217" s="178"/>
      <c r="K217" s="179"/>
      <c r="L217" s="180"/>
      <c r="M217" s="179"/>
      <c r="N217" s="181"/>
      <c r="O217" s="179"/>
      <c r="P217" s="182"/>
      <c r="Q217" s="179"/>
      <c r="R217" s="183"/>
      <c r="S217" s="179"/>
      <c r="T217" s="182"/>
      <c r="U217" s="179"/>
      <c r="V217" s="182"/>
      <c r="W217" s="179"/>
      <c r="X217" s="180"/>
      <c r="Y217" s="179"/>
      <c r="Z217" s="180"/>
      <c r="AA217" s="184"/>
      <c r="AB217" s="180"/>
      <c r="AC217" s="179"/>
      <c r="AD217" s="183"/>
      <c r="AE217" s="185"/>
      <c r="AF217" s="183"/>
      <c r="AG217" s="191"/>
      <c r="AI217" s="187"/>
      <c r="AJ217" s="85"/>
    </row>
    <row r="218" s="1" customFormat="1" spans="1:36">
      <c r="A218" s="176"/>
      <c r="B218" s="176"/>
      <c r="C218" s="177"/>
      <c r="D218" s="177"/>
      <c r="E218" s="177"/>
      <c r="F218" s="176"/>
      <c r="G218" s="176"/>
      <c r="H218" s="176"/>
      <c r="J218" s="178"/>
      <c r="K218" s="179"/>
      <c r="L218" s="180"/>
      <c r="M218" s="179"/>
      <c r="N218" s="181"/>
      <c r="O218" s="179"/>
      <c r="P218" s="182"/>
      <c r="Q218" s="179"/>
      <c r="R218" s="183"/>
      <c r="S218" s="179"/>
      <c r="T218" s="182"/>
      <c r="U218" s="179"/>
      <c r="V218" s="182"/>
      <c r="W218" s="179"/>
      <c r="X218" s="180"/>
      <c r="Y218" s="179"/>
      <c r="Z218" s="180"/>
      <c r="AA218" s="184"/>
      <c r="AB218" s="180"/>
      <c r="AC218" s="179"/>
      <c r="AD218" s="183"/>
      <c r="AE218" s="185"/>
      <c r="AF218" s="183"/>
      <c r="AG218" s="191"/>
      <c r="AI218" s="187"/>
      <c r="AJ218" s="85"/>
    </row>
    <row r="219" s="1" customFormat="1" spans="1:36">
      <c r="A219" s="176"/>
      <c r="B219" s="176"/>
      <c r="C219" s="177"/>
      <c r="D219" s="177"/>
      <c r="E219" s="177"/>
      <c r="F219" s="176"/>
      <c r="G219" s="176"/>
      <c r="H219" s="176"/>
      <c r="J219" s="178"/>
      <c r="K219" s="179"/>
      <c r="L219" s="180"/>
      <c r="M219" s="179"/>
      <c r="N219" s="181"/>
      <c r="O219" s="179"/>
      <c r="P219" s="182"/>
      <c r="Q219" s="179"/>
      <c r="R219" s="183"/>
      <c r="S219" s="179"/>
      <c r="T219" s="182"/>
      <c r="U219" s="179"/>
      <c r="V219" s="182"/>
      <c r="W219" s="179"/>
      <c r="X219" s="180"/>
      <c r="Y219" s="179"/>
      <c r="Z219" s="180"/>
      <c r="AA219" s="184"/>
      <c r="AB219" s="180"/>
      <c r="AC219" s="179"/>
      <c r="AD219" s="183"/>
      <c r="AE219" s="185"/>
      <c r="AF219" s="183"/>
      <c r="AG219" s="191"/>
      <c r="AI219" s="187"/>
      <c r="AJ219" s="85"/>
    </row>
    <row r="220" s="1" customFormat="1" spans="1:36">
      <c r="A220" s="176"/>
      <c r="B220" s="176"/>
      <c r="C220" s="177"/>
      <c r="D220" s="177"/>
      <c r="E220" s="177"/>
      <c r="F220" s="176"/>
      <c r="G220" s="176"/>
      <c r="H220" s="176"/>
      <c r="J220" s="178"/>
      <c r="K220" s="179"/>
      <c r="L220" s="180"/>
      <c r="M220" s="179"/>
      <c r="N220" s="181"/>
      <c r="O220" s="179"/>
      <c r="P220" s="182"/>
      <c r="Q220" s="179"/>
      <c r="R220" s="183"/>
      <c r="S220" s="179"/>
      <c r="T220" s="182"/>
      <c r="U220" s="179"/>
      <c r="V220" s="182"/>
      <c r="W220" s="179"/>
      <c r="X220" s="180"/>
      <c r="Y220" s="179"/>
      <c r="Z220" s="180"/>
      <c r="AA220" s="184"/>
      <c r="AB220" s="180"/>
      <c r="AC220" s="179"/>
      <c r="AD220" s="183"/>
      <c r="AE220" s="185"/>
      <c r="AF220" s="183"/>
      <c r="AG220" s="191"/>
      <c r="AI220" s="187"/>
      <c r="AJ220" s="85"/>
    </row>
    <row r="221" s="1" customFormat="1" spans="1:36">
      <c r="A221" s="176"/>
      <c r="B221" s="176"/>
      <c r="C221" s="177"/>
      <c r="D221" s="177"/>
      <c r="E221" s="177"/>
      <c r="F221" s="176"/>
      <c r="G221" s="176"/>
      <c r="H221" s="176"/>
      <c r="J221" s="178"/>
      <c r="K221" s="179"/>
      <c r="L221" s="180"/>
      <c r="M221" s="179"/>
      <c r="N221" s="181"/>
      <c r="O221" s="179"/>
      <c r="P221" s="182"/>
      <c r="Q221" s="179"/>
      <c r="R221" s="183"/>
      <c r="S221" s="179"/>
      <c r="T221" s="182"/>
      <c r="U221" s="179"/>
      <c r="V221" s="182"/>
      <c r="W221" s="179"/>
      <c r="X221" s="180"/>
      <c r="Y221" s="179"/>
      <c r="Z221" s="180"/>
      <c r="AA221" s="184"/>
      <c r="AB221" s="180"/>
      <c r="AC221" s="179"/>
      <c r="AD221" s="183"/>
      <c r="AE221" s="185"/>
      <c r="AF221" s="183"/>
      <c r="AG221" s="191"/>
      <c r="AI221" s="187"/>
      <c r="AJ221" s="85"/>
    </row>
    <row r="222" s="1" customFormat="1" spans="1:36">
      <c r="A222" s="176"/>
      <c r="B222" s="176"/>
      <c r="C222" s="177"/>
      <c r="D222" s="177"/>
      <c r="E222" s="177"/>
      <c r="F222" s="176"/>
      <c r="G222" s="176"/>
      <c r="H222" s="176"/>
      <c r="J222" s="178"/>
      <c r="K222" s="179"/>
      <c r="L222" s="180"/>
      <c r="M222" s="179"/>
      <c r="N222" s="181"/>
      <c r="O222" s="179"/>
      <c r="P222" s="182"/>
      <c r="Q222" s="179"/>
      <c r="R222" s="183"/>
      <c r="S222" s="179"/>
      <c r="T222" s="182"/>
      <c r="U222" s="179"/>
      <c r="V222" s="182"/>
      <c r="W222" s="179"/>
      <c r="X222" s="180"/>
      <c r="Y222" s="179"/>
      <c r="Z222" s="180"/>
      <c r="AA222" s="184"/>
      <c r="AB222" s="180"/>
      <c r="AC222" s="179"/>
      <c r="AD222" s="183"/>
      <c r="AE222" s="185"/>
      <c r="AF222" s="183"/>
      <c r="AG222" s="191"/>
      <c r="AI222" s="187"/>
      <c r="AJ222" s="85"/>
    </row>
    <row r="223" s="1" customFormat="1" spans="1:36">
      <c r="A223" s="176"/>
      <c r="B223" s="176"/>
      <c r="C223" s="177"/>
      <c r="D223" s="177"/>
      <c r="E223" s="177"/>
      <c r="F223" s="176"/>
      <c r="G223" s="176"/>
      <c r="H223" s="176"/>
      <c r="J223" s="178"/>
      <c r="K223" s="179"/>
      <c r="L223" s="180"/>
      <c r="M223" s="179"/>
      <c r="N223" s="181"/>
      <c r="O223" s="179"/>
      <c r="P223" s="182"/>
      <c r="Q223" s="179"/>
      <c r="R223" s="183"/>
      <c r="S223" s="179"/>
      <c r="T223" s="182"/>
      <c r="U223" s="179"/>
      <c r="V223" s="182"/>
      <c r="W223" s="179"/>
      <c r="X223" s="180"/>
      <c r="Y223" s="179"/>
      <c r="Z223" s="180"/>
      <c r="AA223" s="184"/>
      <c r="AB223" s="180"/>
      <c r="AC223" s="179"/>
      <c r="AD223" s="183"/>
      <c r="AE223" s="185"/>
      <c r="AF223" s="183"/>
      <c r="AG223" s="191"/>
      <c r="AI223" s="187"/>
      <c r="AJ223" s="85"/>
    </row>
    <row r="224" s="1" customFormat="1" spans="1:36">
      <c r="A224" s="176"/>
      <c r="B224" s="176"/>
      <c r="C224" s="177"/>
      <c r="D224" s="177"/>
      <c r="E224" s="177"/>
      <c r="F224" s="176"/>
      <c r="G224" s="176"/>
      <c r="H224" s="176"/>
      <c r="J224" s="178"/>
      <c r="K224" s="179"/>
      <c r="L224" s="180"/>
      <c r="M224" s="179"/>
      <c r="N224" s="181"/>
      <c r="O224" s="179"/>
      <c r="P224" s="182"/>
      <c r="Q224" s="179"/>
      <c r="R224" s="183"/>
      <c r="S224" s="179"/>
      <c r="T224" s="182"/>
      <c r="U224" s="179"/>
      <c r="V224" s="182"/>
      <c r="W224" s="179"/>
      <c r="X224" s="180"/>
      <c r="Y224" s="179"/>
      <c r="Z224" s="180"/>
      <c r="AA224" s="184"/>
      <c r="AB224" s="180"/>
      <c r="AC224" s="179"/>
      <c r="AD224" s="183"/>
      <c r="AE224" s="185"/>
      <c r="AF224" s="183"/>
      <c r="AG224" s="191"/>
      <c r="AI224" s="187"/>
      <c r="AJ224" s="85"/>
    </row>
    <row r="225" s="1" customFormat="1" spans="1:36">
      <c r="A225" s="176"/>
      <c r="B225" s="176"/>
      <c r="C225" s="177"/>
      <c r="D225" s="177"/>
      <c r="E225" s="177"/>
      <c r="F225" s="176"/>
      <c r="G225" s="176"/>
      <c r="H225" s="176"/>
      <c r="J225" s="178"/>
      <c r="K225" s="179"/>
      <c r="L225" s="180"/>
      <c r="M225" s="179"/>
      <c r="N225" s="181"/>
      <c r="O225" s="179"/>
      <c r="P225" s="182"/>
      <c r="Q225" s="179"/>
      <c r="R225" s="183"/>
      <c r="S225" s="179"/>
      <c r="T225" s="182"/>
      <c r="U225" s="179"/>
      <c r="V225" s="182"/>
      <c r="W225" s="179"/>
      <c r="X225" s="180"/>
      <c r="Y225" s="179"/>
      <c r="Z225" s="180"/>
      <c r="AA225" s="184"/>
      <c r="AB225" s="180"/>
      <c r="AC225" s="179"/>
      <c r="AD225" s="183"/>
      <c r="AE225" s="185"/>
      <c r="AF225" s="183"/>
      <c r="AG225" s="191"/>
      <c r="AI225" s="187"/>
      <c r="AJ225" s="85"/>
    </row>
    <row r="226" s="1" customFormat="1" spans="1:36">
      <c r="A226" s="176"/>
      <c r="B226" s="176"/>
      <c r="C226" s="177"/>
      <c r="D226" s="177"/>
      <c r="E226" s="177"/>
      <c r="F226" s="176"/>
      <c r="G226" s="176"/>
      <c r="H226" s="176"/>
      <c r="J226" s="178"/>
      <c r="K226" s="179"/>
      <c r="L226" s="180"/>
      <c r="M226" s="179"/>
      <c r="N226" s="181"/>
      <c r="O226" s="179"/>
      <c r="P226" s="182"/>
      <c r="Q226" s="179"/>
      <c r="R226" s="183"/>
      <c r="S226" s="179"/>
      <c r="T226" s="182"/>
      <c r="U226" s="179"/>
      <c r="V226" s="182"/>
      <c r="W226" s="179"/>
      <c r="X226" s="180"/>
      <c r="Y226" s="179"/>
      <c r="Z226" s="180"/>
      <c r="AA226" s="184"/>
      <c r="AB226" s="180"/>
      <c r="AC226" s="179"/>
      <c r="AD226" s="183"/>
      <c r="AE226" s="185"/>
      <c r="AF226" s="183"/>
      <c r="AG226" s="191"/>
      <c r="AI226" s="187"/>
      <c r="AJ226" s="85"/>
    </row>
    <row r="227" s="1" customFormat="1" spans="1:36">
      <c r="A227" s="176"/>
      <c r="B227" s="176"/>
      <c r="C227" s="177"/>
      <c r="D227" s="177"/>
      <c r="E227" s="177"/>
      <c r="F227" s="176"/>
      <c r="G227" s="176"/>
      <c r="H227" s="176"/>
      <c r="J227" s="178"/>
      <c r="K227" s="179"/>
      <c r="L227" s="180"/>
      <c r="M227" s="179"/>
      <c r="N227" s="181"/>
      <c r="O227" s="179"/>
      <c r="P227" s="182"/>
      <c r="Q227" s="179"/>
      <c r="R227" s="183"/>
      <c r="S227" s="179"/>
      <c r="T227" s="182"/>
      <c r="U227" s="179"/>
      <c r="V227" s="182"/>
      <c r="W227" s="179"/>
      <c r="X227" s="180"/>
      <c r="Y227" s="179"/>
      <c r="Z227" s="180"/>
      <c r="AA227" s="184"/>
      <c r="AB227" s="180"/>
      <c r="AC227" s="179"/>
      <c r="AD227" s="183"/>
      <c r="AE227" s="185"/>
      <c r="AF227" s="183"/>
      <c r="AG227" s="191"/>
      <c r="AI227" s="187"/>
      <c r="AJ227" s="85"/>
    </row>
    <row r="228" s="1" customFormat="1" spans="1:36">
      <c r="A228" s="176"/>
      <c r="B228" s="176"/>
      <c r="C228" s="177"/>
      <c r="D228" s="177"/>
      <c r="E228" s="177"/>
      <c r="F228" s="176"/>
      <c r="G228" s="176"/>
      <c r="H228" s="176"/>
      <c r="J228" s="178"/>
      <c r="K228" s="179"/>
      <c r="L228" s="180"/>
      <c r="M228" s="179"/>
      <c r="N228" s="181"/>
      <c r="O228" s="179"/>
      <c r="P228" s="182"/>
      <c r="Q228" s="179"/>
      <c r="R228" s="183"/>
      <c r="S228" s="179"/>
      <c r="T228" s="182"/>
      <c r="U228" s="179"/>
      <c r="V228" s="182"/>
      <c r="W228" s="179"/>
      <c r="X228" s="180"/>
      <c r="Y228" s="179"/>
      <c r="Z228" s="180"/>
      <c r="AA228" s="184"/>
      <c r="AB228" s="180"/>
      <c r="AC228" s="179"/>
      <c r="AD228" s="183"/>
      <c r="AE228" s="185"/>
      <c r="AF228" s="183"/>
      <c r="AG228" s="191"/>
      <c r="AI228" s="187"/>
      <c r="AJ228" s="85"/>
    </row>
    <row r="229" s="1" customFormat="1" spans="1:36">
      <c r="A229" s="176"/>
      <c r="B229" s="176"/>
      <c r="C229" s="177"/>
      <c r="D229" s="177"/>
      <c r="E229" s="177"/>
      <c r="F229" s="176"/>
      <c r="G229" s="176"/>
      <c r="H229" s="176"/>
      <c r="J229" s="178"/>
      <c r="K229" s="179"/>
      <c r="L229" s="180"/>
      <c r="M229" s="179"/>
      <c r="N229" s="181"/>
      <c r="O229" s="179"/>
      <c r="P229" s="182"/>
      <c r="Q229" s="179"/>
      <c r="R229" s="183"/>
      <c r="S229" s="179"/>
      <c r="T229" s="182"/>
      <c r="U229" s="179"/>
      <c r="V229" s="182"/>
      <c r="W229" s="179"/>
      <c r="X229" s="180"/>
      <c r="Y229" s="179"/>
      <c r="Z229" s="180"/>
      <c r="AA229" s="184"/>
      <c r="AB229" s="180"/>
      <c r="AC229" s="179"/>
      <c r="AD229" s="183"/>
      <c r="AE229" s="185"/>
      <c r="AF229" s="183"/>
      <c r="AG229" s="191"/>
      <c r="AI229" s="187"/>
      <c r="AJ229" s="85"/>
    </row>
    <row r="230" spans="1:36">
      <c r="Z230" s="180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M260"/>
  <sheetViews>
    <sheetView tabSelected="1" zoomScale="70" zoomScaleNormal="70" workbookViewId="0">
      <pane xSplit="11" ySplit="2" topLeftCell="Q38" activePane="bottomRight" state="frozen"/>
      <selection/>
      <selection pane="topRight"/>
      <selection pane="bottomLeft"/>
      <selection pane="bottomRight" activeCell="T75" sqref="T75"/>
    </sheetView>
  </sheetViews>
  <sheetFormatPr defaultColWidth="9" defaultRowHeight="13.5"/>
  <cols>
    <col min="1" max="1" width="5.36666666666667" style="38" customWidth="1"/>
    <col min="2" max="2" width="9.08333333333333" style="38" customWidth="1"/>
    <col min="3" max="3" width="23.5416666666667" style="39" customWidth="1" outlineLevel="1"/>
    <col min="4" max="4" width="24.2" style="39" customWidth="1" outlineLevel="1"/>
    <col min="5" max="5" width="8.54166666666667" style="39" customWidth="1" outlineLevel="1"/>
    <col min="6" max="6" width="7.15833333333333" style="39" customWidth="1" outlineLevel="1"/>
    <col min="7" max="7" width="23.1833333333333" style="38" customWidth="1"/>
    <col min="8" max="8" width="18.075" style="38" customWidth="1"/>
    <col min="9" max="9" width="22.0416666666667" style="38" hidden="1" customWidth="1"/>
    <col min="10" max="10" width="23.475" customWidth="1"/>
    <col min="11" max="11" width="12.725" style="5" customWidth="1"/>
    <col min="12" max="12" width="10.9083333333333" style="40" customWidth="1" outlineLevel="1"/>
    <col min="13" max="13" width="10.5666666666667" style="41" customWidth="1"/>
    <col min="14" max="14" width="10.8166666666667" style="40" hidden="1" customWidth="1" outlineLevel="1"/>
    <col min="15" max="15" width="12.8333333333333" style="42" customWidth="1" collapsed="1"/>
    <col min="16" max="16" width="10.8166666666667" style="40" hidden="1" customWidth="1" outlineLevel="1"/>
    <col min="17" max="17" width="16.5916666666667" style="43" customWidth="1" collapsed="1"/>
    <col min="18" max="18" width="13.6333333333333" style="40" hidden="1" customWidth="1" outlineLevel="1"/>
    <col min="19" max="19" width="12.725" style="44" hidden="1" customWidth="1" collapsed="1"/>
    <col min="20" max="20" width="12.8416666666667" style="43" customWidth="1" outlineLevel="1"/>
    <col min="21" max="21" width="15.6333333333333" style="40" customWidth="1" outlineLevel="1"/>
    <col min="22" max="22" width="15.6333333333333" style="43" customWidth="1"/>
    <col min="23" max="23" width="10.2166666666667" style="40" hidden="1" customWidth="1" outlineLevel="1"/>
    <col min="24" max="24" width="12.6083333333333" style="41" hidden="1" customWidth="1" collapsed="1"/>
    <col min="25" max="25" width="9.2" style="40" hidden="1" customWidth="1" outlineLevel="1"/>
    <col min="26" max="26" width="12.6083333333333" style="41" hidden="1" customWidth="1" collapsed="1"/>
    <col min="27" max="27" width="14.9083333333333" style="45" hidden="1" customWidth="1" outlineLevel="1"/>
    <col min="28" max="28" width="12.4583333333333" style="41" hidden="1" customWidth="1" collapsed="1"/>
    <col min="29" max="29" width="11.5416666666667" style="40" customWidth="1"/>
    <col min="30" max="30" width="13.0666666666667" style="44" customWidth="1"/>
    <col min="31" max="31" width="11.0166666666667" style="6" customWidth="1"/>
    <col min="32" max="32" width="14.9916666666667" style="44" customWidth="1"/>
    <col min="33" max="33" width="11.6333333333333" style="42" hidden="1" customWidth="1"/>
    <col min="34" max="34" width="12.9083333333333" style="46" customWidth="1"/>
    <col min="35" max="35" width="10.4583333333333" customWidth="1"/>
    <col min="36" max="36" width="10.4583333333333" style="38" customWidth="1"/>
    <col min="37" max="37" width="11.275" style="47" customWidth="1"/>
    <col min="38" max="38" width="11.0916666666667" style="48" customWidth="1"/>
    <col min="39" max="39" width="14.5416666666667" customWidth="1"/>
  </cols>
  <sheetData>
    <row r="1" customFormat="1" ht="33" customHeight="1" spans="1:38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50"/>
      <c r="P1" s="49"/>
      <c r="Q1" s="49"/>
      <c r="R1" s="51"/>
      <c r="S1" s="52"/>
      <c r="T1" s="49"/>
      <c r="U1" s="49"/>
      <c r="V1" s="49"/>
      <c r="W1" s="49"/>
      <c r="X1" s="49"/>
      <c r="Y1" s="49"/>
      <c r="Z1" s="49"/>
      <c r="AA1" s="49"/>
      <c r="AB1" s="49"/>
      <c r="AC1" s="51"/>
      <c r="AD1" s="52"/>
      <c r="AE1" s="49"/>
      <c r="AF1" s="52"/>
      <c r="AG1" s="50"/>
      <c r="AH1" s="53"/>
      <c r="AI1" s="8"/>
      <c r="AJ1" s="8"/>
      <c r="AK1" s="54"/>
      <c r="AL1" s="48"/>
    </row>
    <row r="2" customFormat="1" ht="57" customHeight="1" spans="1:38">
      <c r="A2" s="13" t="s">
        <v>1</v>
      </c>
      <c r="B2" s="13" t="s">
        <v>2</v>
      </c>
      <c r="C2" s="17" t="s">
        <v>130</v>
      </c>
      <c r="D2" s="55" t="s">
        <v>4</v>
      </c>
      <c r="E2" s="55" t="s">
        <v>5</v>
      </c>
      <c r="F2" s="56" t="s">
        <v>131</v>
      </c>
      <c r="G2" s="13" t="s">
        <v>6</v>
      </c>
      <c r="H2" s="13" t="s">
        <v>7</v>
      </c>
      <c r="I2" s="13" t="s">
        <v>8</v>
      </c>
      <c r="J2" s="17" t="s">
        <v>10</v>
      </c>
      <c r="K2" s="17" t="s">
        <v>9</v>
      </c>
      <c r="L2" s="57" t="s">
        <v>11</v>
      </c>
      <c r="M2" s="58" t="s">
        <v>12</v>
      </c>
      <c r="N2" s="59" t="s">
        <v>13</v>
      </c>
      <c r="O2" s="60" t="s">
        <v>14</v>
      </c>
      <c r="P2" s="57" t="s">
        <v>15</v>
      </c>
      <c r="Q2" s="61" t="s">
        <v>16</v>
      </c>
      <c r="R2" s="57" t="s">
        <v>17</v>
      </c>
      <c r="S2" s="62" t="s">
        <v>18</v>
      </c>
      <c r="T2" s="63" t="s">
        <v>20</v>
      </c>
      <c r="U2" s="57" t="s">
        <v>21</v>
      </c>
      <c r="V2" s="61" t="s">
        <v>22</v>
      </c>
      <c r="W2" s="59" t="s">
        <v>23</v>
      </c>
      <c r="X2" s="58" t="s">
        <v>24</v>
      </c>
      <c r="Y2" s="57" t="s">
        <v>25</v>
      </c>
      <c r="Z2" s="58" t="s">
        <v>26</v>
      </c>
      <c r="AA2" s="64" t="s">
        <v>27</v>
      </c>
      <c r="AB2" s="58" t="s">
        <v>132</v>
      </c>
      <c r="AC2" s="57" t="s">
        <v>29</v>
      </c>
      <c r="AD2" s="62" t="s">
        <v>30</v>
      </c>
      <c r="AE2" s="65" t="s">
        <v>31</v>
      </c>
      <c r="AF2" s="15" t="s">
        <v>32</v>
      </c>
      <c r="AG2" s="60" t="s">
        <v>133</v>
      </c>
      <c r="AH2" s="66" t="s">
        <v>33</v>
      </c>
      <c r="AI2" s="13" t="s">
        <v>34</v>
      </c>
      <c r="AJ2" s="13"/>
      <c r="AK2" s="66" t="s">
        <v>35</v>
      </c>
      <c r="AL2" s="48"/>
    </row>
    <row r="3" s="1" customFormat="1" ht="18" customHeight="1" spans="1:38">
      <c r="A3" s="67">
        <v>1</v>
      </c>
      <c r="B3" s="68">
        <v>46042</v>
      </c>
      <c r="C3" s="69">
        <v>991193965818</v>
      </c>
      <c r="D3" s="69"/>
      <c r="E3" s="69"/>
      <c r="F3" s="69"/>
      <c r="G3" s="67"/>
      <c r="H3" s="70" t="s">
        <v>36</v>
      </c>
      <c r="I3" s="67"/>
      <c r="J3" s="20" t="s">
        <v>37</v>
      </c>
      <c r="K3" s="25" t="s">
        <v>38</v>
      </c>
      <c r="L3" s="71"/>
      <c r="M3" s="72"/>
      <c r="N3" s="71">
        <v>46049</v>
      </c>
      <c r="O3" s="73">
        <v>560</v>
      </c>
      <c r="P3" s="71">
        <v>46040</v>
      </c>
      <c r="Q3" s="74">
        <v>1937572.32</v>
      </c>
      <c r="R3" s="71"/>
      <c r="S3" s="75"/>
      <c r="T3" s="76">
        <v>1500</v>
      </c>
      <c r="U3" s="71">
        <v>46039</v>
      </c>
      <c r="V3" s="74">
        <v>3763356.3</v>
      </c>
      <c r="W3" s="71">
        <v>46045</v>
      </c>
      <c r="X3" s="77">
        <v>5400000</v>
      </c>
      <c r="Y3" s="71">
        <v>46030</v>
      </c>
      <c r="Z3" s="78">
        <v>13595000</v>
      </c>
      <c r="AA3" s="79">
        <v>46056</v>
      </c>
      <c r="AB3" s="80">
        <v>1160000</v>
      </c>
      <c r="AC3" s="71">
        <v>46056</v>
      </c>
      <c r="AD3" s="80">
        <v>2770540</v>
      </c>
      <c r="AE3" s="81" t="s">
        <v>39</v>
      </c>
      <c r="AF3" s="75">
        <f>SUM(O3*AL3,Q3,S3,T3*AL3,V3,X3,Z3,AB3,AD3,M3)</f>
        <v>34085468.62</v>
      </c>
      <c r="AG3" s="82">
        <f>AF3/AL3</f>
        <v>12862.4409886792</v>
      </c>
      <c r="AH3" s="83">
        <f t="shared" ref="AH3:AH9" si="0">AF3/AI3</f>
        <v>90652.8420744681</v>
      </c>
      <c r="AI3" s="20">
        <v>376</v>
      </c>
      <c r="AJ3" s="67"/>
      <c r="AK3" s="84" t="s">
        <v>40</v>
      </c>
      <c r="AL3" s="85">
        <v>2650</v>
      </c>
    </row>
    <row r="4" s="1" customFormat="1" ht="18" customHeight="1" spans="1:38">
      <c r="A4" s="67">
        <v>2</v>
      </c>
      <c r="B4" s="68">
        <v>46043</v>
      </c>
      <c r="C4" s="69"/>
      <c r="D4" s="69"/>
      <c r="E4" s="69"/>
      <c r="F4" s="69"/>
      <c r="G4" s="67"/>
      <c r="H4" s="86" t="s">
        <v>41</v>
      </c>
      <c r="I4" s="67"/>
      <c r="J4" s="20" t="s">
        <v>37</v>
      </c>
      <c r="K4" s="25" t="s">
        <v>38</v>
      </c>
      <c r="L4" s="71"/>
      <c r="M4" s="72"/>
      <c r="N4" s="71">
        <v>46049</v>
      </c>
      <c r="O4" s="73">
        <v>560</v>
      </c>
      <c r="P4" s="71">
        <v>46040</v>
      </c>
      <c r="Q4" s="74">
        <v>1937572.32</v>
      </c>
      <c r="R4" s="71"/>
      <c r="S4" s="75"/>
      <c r="T4" s="76">
        <v>1500</v>
      </c>
      <c r="U4" s="71">
        <v>46039</v>
      </c>
      <c r="V4" s="74">
        <v>3763356.3</v>
      </c>
      <c r="W4" s="71">
        <v>46045</v>
      </c>
      <c r="X4" s="77">
        <v>5400000</v>
      </c>
      <c r="Y4" s="71">
        <v>46030</v>
      </c>
      <c r="Z4" s="87">
        <v>13595000</v>
      </c>
      <c r="AA4" s="88">
        <v>46056</v>
      </c>
      <c r="AB4" s="80">
        <v>1010000</v>
      </c>
      <c r="AC4" s="71">
        <v>46056</v>
      </c>
      <c r="AD4" s="80">
        <v>2770540</v>
      </c>
      <c r="AE4" s="81" t="s">
        <v>39</v>
      </c>
      <c r="AF4" s="75">
        <f>SUM(O4*AL4,Q4,S4,T4*AL4,V4,X4,Z4,AB4,AD4,M4)</f>
        <v>33935468.62</v>
      </c>
      <c r="AG4" s="82">
        <f t="shared" ref="AG4:AG9" si="1">AF4/AL4</f>
        <v>12805.8372150943</v>
      </c>
      <c r="AH4" s="83">
        <f t="shared" si="0"/>
        <v>90253.9059042553</v>
      </c>
      <c r="AI4" s="20">
        <v>376</v>
      </c>
      <c r="AJ4" s="67"/>
      <c r="AK4" s="84" t="s">
        <v>40</v>
      </c>
      <c r="AL4" s="85">
        <v>2650</v>
      </c>
    </row>
    <row r="5" s="1" customFormat="1" ht="18" customHeight="1" spans="1:38">
      <c r="A5" s="67">
        <v>3</v>
      </c>
      <c r="B5" s="68">
        <v>46047</v>
      </c>
      <c r="C5" s="69">
        <v>991500868207</v>
      </c>
      <c r="D5" s="69"/>
      <c r="E5" s="69"/>
      <c r="F5" s="69"/>
      <c r="G5" s="67"/>
      <c r="H5" s="67" t="s">
        <v>42</v>
      </c>
      <c r="I5" s="67" t="s">
        <v>43</v>
      </c>
      <c r="J5" s="20" t="s">
        <v>44</v>
      </c>
      <c r="K5" s="25" t="s">
        <v>44</v>
      </c>
      <c r="L5" s="71">
        <v>46035</v>
      </c>
      <c r="M5" s="77">
        <v>733120</v>
      </c>
      <c r="N5" s="71">
        <v>46021</v>
      </c>
      <c r="O5" s="76">
        <f t="shared" ref="O5:O7" si="2">693/3</f>
        <v>231</v>
      </c>
      <c r="P5" s="71">
        <v>46043</v>
      </c>
      <c r="Q5" s="74">
        <v>1564541.23</v>
      </c>
      <c r="R5" s="71"/>
      <c r="S5" s="75"/>
      <c r="T5" s="76">
        <v>230</v>
      </c>
      <c r="U5" s="71">
        <v>46043</v>
      </c>
      <c r="V5" s="74">
        <v>2605794</v>
      </c>
      <c r="W5" s="71">
        <v>46044</v>
      </c>
      <c r="X5" s="77">
        <f t="shared" ref="X5:X9" si="3">27600000/5</f>
        <v>5520000</v>
      </c>
      <c r="Y5" s="71">
        <v>46014</v>
      </c>
      <c r="Z5" s="77">
        <f t="shared" ref="Z5:Z7" si="4">78100296/3</f>
        <v>26033432</v>
      </c>
      <c r="AA5" s="27">
        <v>46014</v>
      </c>
      <c r="AB5" s="89">
        <v>1666667</v>
      </c>
      <c r="AC5" s="71">
        <v>46056</v>
      </c>
      <c r="AD5" s="80">
        <v>2043693</v>
      </c>
      <c r="AE5" s="81" t="s">
        <v>39</v>
      </c>
      <c r="AF5" s="75">
        <f>SUM(O5*AL5,Q5,S5,T5*AL5,V5,X5,Z5,AB5,AD5,M5)</f>
        <v>41388897.23</v>
      </c>
      <c r="AG5" s="82">
        <f t="shared" si="1"/>
        <v>15618.4517849057</v>
      </c>
      <c r="AH5" s="83">
        <f t="shared" si="0"/>
        <v>110076.854335106</v>
      </c>
      <c r="AI5" s="20">
        <v>376</v>
      </c>
      <c r="AJ5" s="67"/>
      <c r="AK5" s="84" t="s">
        <v>40</v>
      </c>
      <c r="AL5" s="85">
        <v>2650</v>
      </c>
    </row>
    <row r="6" s="1" customFormat="1" ht="18" customHeight="1" spans="1:38">
      <c r="A6" s="67">
        <v>4</v>
      </c>
      <c r="B6" s="68">
        <v>46047</v>
      </c>
      <c r="C6" s="69">
        <v>991500867969</v>
      </c>
      <c r="D6" s="69"/>
      <c r="E6" s="69"/>
      <c r="F6" s="69"/>
      <c r="G6" s="67"/>
      <c r="H6" s="67" t="s">
        <v>45</v>
      </c>
      <c r="I6" s="67" t="s">
        <v>46</v>
      </c>
      <c r="J6" s="20" t="s">
        <v>44</v>
      </c>
      <c r="K6" s="25" t="s">
        <v>44</v>
      </c>
      <c r="L6" s="71">
        <v>46035</v>
      </c>
      <c r="M6" s="77">
        <v>931316</v>
      </c>
      <c r="N6" s="71">
        <v>46021</v>
      </c>
      <c r="O6" s="76">
        <f t="shared" si="2"/>
        <v>231</v>
      </c>
      <c r="P6" s="71">
        <v>46031</v>
      </c>
      <c r="Q6" s="74">
        <v>1461000</v>
      </c>
      <c r="R6" s="71"/>
      <c r="S6" s="75"/>
      <c r="T6" s="76">
        <v>230</v>
      </c>
      <c r="U6" s="71">
        <v>46043</v>
      </c>
      <c r="V6" s="74">
        <v>2605794</v>
      </c>
      <c r="W6" s="71">
        <v>46056</v>
      </c>
      <c r="X6" s="77">
        <f t="shared" si="3"/>
        <v>5520000</v>
      </c>
      <c r="Y6" s="71">
        <v>46014</v>
      </c>
      <c r="Z6" s="77">
        <f t="shared" si="4"/>
        <v>26033432</v>
      </c>
      <c r="AA6" s="27">
        <v>46014</v>
      </c>
      <c r="AB6" s="89">
        <v>1666667</v>
      </c>
      <c r="AC6" s="71">
        <v>46056</v>
      </c>
      <c r="AD6" s="80">
        <v>2043693</v>
      </c>
      <c r="AE6" s="81" t="s">
        <v>39</v>
      </c>
      <c r="AF6" s="75">
        <f t="shared" ref="AF6:AF14" si="5">SUM(O6*AL6,Q6,S6,T6*AL6,V6,X6,Z6,AB6,AD6,M6)</f>
        <v>41483552</v>
      </c>
      <c r="AG6" s="82">
        <f t="shared" si="1"/>
        <v>15654.1705660377</v>
      </c>
      <c r="AH6" s="83">
        <f t="shared" si="0"/>
        <v>110328.595744681</v>
      </c>
      <c r="AI6" s="20">
        <v>376</v>
      </c>
      <c r="AJ6" s="67"/>
      <c r="AK6" s="84" t="s">
        <v>40</v>
      </c>
      <c r="AL6" s="85">
        <v>2650</v>
      </c>
    </row>
    <row r="7" s="1" customFormat="1" ht="18" customHeight="1" spans="1:38">
      <c r="A7" s="67">
        <v>5</v>
      </c>
      <c r="B7" s="68">
        <v>46047</v>
      </c>
      <c r="C7" s="69"/>
      <c r="D7" s="69"/>
      <c r="E7" s="69"/>
      <c r="F7" s="69"/>
      <c r="G7" s="67"/>
      <c r="H7" s="67" t="s">
        <v>47</v>
      </c>
      <c r="I7" s="67" t="s">
        <v>48</v>
      </c>
      <c r="J7" s="20" t="s">
        <v>44</v>
      </c>
      <c r="K7" s="25" t="s">
        <v>44</v>
      </c>
      <c r="L7" s="71"/>
      <c r="M7" s="72"/>
      <c r="N7" s="71">
        <v>46021</v>
      </c>
      <c r="O7" s="76">
        <f t="shared" si="2"/>
        <v>231</v>
      </c>
      <c r="P7" s="71">
        <v>46031</v>
      </c>
      <c r="Q7" s="74">
        <v>1461000</v>
      </c>
      <c r="R7" s="71"/>
      <c r="S7" s="75"/>
      <c r="T7" s="76">
        <v>230</v>
      </c>
      <c r="U7" s="71">
        <v>46043</v>
      </c>
      <c r="V7" s="74">
        <v>2605794</v>
      </c>
      <c r="W7" s="71">
        <v>46056</v>
      </c>
      <c r="X7" s="77">
        <f t="shared" si="3"/>
        <v>5520000</v>
      </c>
      <c r="Y7" s="71">
        <v>46014</v>
      </c>
      <c r="Z7" s="77">
        <f t="shared" si="4"/>
        <v>26033432</v>
      </c>
      <c r="AA7" s="27">
        <v>46014</v>
      </c>
      <c r="AB7" s="89">
        <v>1666667</v>
      </c>
      <c r="AC7" s="71">
        <v>46056</v>
      </c>
      <c r="AD7" s="80">
        <v>2043693</v>
      </c>
      <c r="AE7" s="81" t="s">
        <v>39</v>
      </c>
      <c r="AF7" s="75">
        <f t="shared" si="5"/>
        <v>40552236</v>
      </c>
      <c r="AG7" s="82">
        <f t="shared" si="1"/>
        <v>15302.7305660377</v>
      </c>
      <c r="AH7" s="83">
        <f t="shared" si="0"/>
        <v>107851.691489362</v>
      </c>
      <c r="AI7" s="20">
        <v>376</v>
      </c>
      <c r="AJ7" s="67"/>
      <c r="AK7" s="84" t="s">
        <v>40</v>
      </c>
      <c r="AL7" s="85">
        <v>2650</v>
      </c>
    </row>
    <row r="8" s="1" customFormat="1" ht="18" customHeight="1" spans="1:38">
      <c r="A8" s="67">
        <v>6</v>
      </c>
      <c r="B8" s="68">
        <v>46048</v>
      </c>
      <c r="C8" s="69"/>
      <c r="D8" s="69"/>
      <c r="E8" s="69"/>
      <c r="F8" s="69"/>
      <c r="G8" s="67" t="s">
        <v>49</v>
      </c>
      <c r="H8" s="67" t="s">
        <v>50</v>
      </c>
      <c r="I8" s="67" t="s">
        <v>51</v>
      </c>
      <c r="J8" s="20" t="s">
        <v>52</v>
      </c>
      <c r="K8" s="25" t="s">
        <v>53</v>
      </c>
      <c r="L8" s="71">
        <v>46038</v>
      </c>
      <c r="M8" s="77">
        <v>751707</v>
      </c>
      <c r="N8" s="71">
        <v>46037</v>
      </c>
      <c r="O8" s="90">
        <v>308</v>
      </c>
      <c r="P8" s="71">
        <v>46038</v>
      </c>
      <c r="Q8" s="74">
        <v>1350097.24</v>
      </c>
      <c r="R8" s="71"/>
      <c r="S8" s="75"/>
      <c r="T8" s="91"/>
      <c r="U8" s="71">
        <v>46043</v>
      </c>
      <c r="V8" s="74">
        <v>2216630</v>
      </c>
      <c r="W8" s="71">
        <v>46056</v>
      </c>
      <c r="X8" s="77">
        <f t="shared" si="3"/>
        <v>5520000</v>
      </c>
      <c r="Y8" s="71">
        <v>46027</v>
      </c>
      <c r="Z8" s="77">
        <v>24710225</v>
      </c>
      <c r="AA8" s="27"/>
      <c r="AB8" s="72"/>
      <c r="AC8" s="71">
        <v>46056</v>
      </c>
      <c r="AD8" s="80">
        <v>2590000</v>
      </c>
      <c r="AE8" s="81" t="s">
        <v>39</v>
      </c>
      <c r="AF8" s="75">
        <f t="shared" si="5"/>
        <v>37954859.24</v>
      </c>
      <c r="AG8" s="82">
        <f t="shared" si="1"/>
        <v>14322.5883924528</v>
      </c>
      <c r="AH8" s="83">
        <f t="shared" si="0"/>
        <v>100943.774574468</v>
      </c>
      <c r="AI8" s="20">
        <v>376</v>
      </c>
      <c r="AJ8" s="67"/>
      <c r="AK8" s="84" t="s">
        <v>40</v>
      </c>
      <c r="AL8" s="85">
        <v>2650</v>
      </c>
    </row>
    <row r="9" s="1" customFormat="1" ht="18" customHeight="1" spans="1:38">
      <c r="A9" s="67">
        <v>7</v>
      </c>
      <c r="B9" s="68">
        <v>46052</v>
      </c>
      <c r="C9" s="69"/>
      <c r="D9" s="69"/>
      <c r="E9" s="69"/>
      <c r="F9" s="69"/>
      <c r="G9" s="67"/>
      <c r="H9" s="67" t="s">
        <v>54</v>
      </c>
      <c r="I9" s="67" t="s">
        <v>55</v>
      </c>
      <c r="J9" s="20" t="s">
        <v>56</v>
      </c>
      <c r="K9" s="25" t="s">
        <v>56</v>
      </c>
      <c r="L9" s="71">
        <v>46044</v>
      </c>
      <c r="M9" s="77">
        <v>189000</v>
      </c>
      <c r="N9" s="71"/>
      <c r="O9" s="82"/>
      <c r="P9" s="71">
        <v>46044</v>
      </c>
      <c r="Q9" s="74">
        <v>1848718.67</v>
      </c>
      <c r="R9" s="71"/>
      <c r="S9" s="75"/>
      <c r="T9" s="91"/>
      <c r="U9" s="71">
        <v>46045</v>
      </c>
      <c r="V9" s="74">
        <v>4203183.6</v>
      </c>
      <c r="W9" s="71">
        <v>46056</v>
      </c>
      <c r="X9" s="77">
        <f t="shared" si="3"/>
        <v>5520000</v>
      </c>
      <c r="Y9" s="71">
        <v>46044</v>
      </c>
      <c r="Z9" s="77">
        <v>6441731</v>
      </c>
      <c r="AA9" s="27"/>
      <c r="AB9" s="72"/>
      <c r="AC9" s="71">
        <v>46056</v>
      </c>
      <c r="AD9" s="80">
        <v>3171751</v>
      </c>
      <c r="AE9" s="81" t="s">
        <v>39</v>
      </c>
      <c r="AF9" s="75">
        <f t="shared" si="5"/>
        <v>21374384.27</v>
      </c>
      <c r="AG9" s="82">
        <f t="shared" si="1"/>
        <v>8065.80538490566</v>
      </c>
      <c r="AH9" s="83">
        <f t="shared" si="0"/>
        <v>56846.7666755319</v>
      </c>
      <c r="AI9" s="20">
        <v>376</v>
      </c>
      <c r="AJ9" s="67"/>
      <c r="AK9" s="84" t="s">
        <v>40</v>
      </c>
      <c r="AL9" s="85">
        <v>2650</v>
      </c>
    </row>
    <row r="10" s="1" customFormat="1" ht="8" customHeight="1" spans="1:38">
      <c r="A10" s="92"/>
      <c r="B10" s="93"/>
      <c r="C10" s="94"/>
      <c r="D10" s="94"/>
      <c r="E10" s="94"/>
      <c r="F10" s="94"/>
      <c r="G10" s="92"/>
      <c r="H10" s="92"/>
      <c r="I10" s="92"/>
      <c r="J10" s="95"/>
      <c r="K10" s="96"/>
      <c r="L10" s="97"/>
      <c r="M10" s="98"/>
      <c r="N10" s="97"/>
      <c r="O10" s="99"/>
      <c r="P10" s="97"/>
      <c r="Q10" s="100"/>
      <c r="R10" s="100"/>
      <c r="S10" s="101"/>
      <c r="T10" s="100"/>
      <c r="U10" s="97"/>
      <c r="V10" s="100"/>
      <c r="W10" s="97"/>
      <c r="X10" s="98"/>
      <c r="Y10" s="97"/>
      <c r="Z10" s="98"/>
      <c r="AA10" s="102"/>
      <c r="AB10" s="98"/>
      <c r="AC10" s="97">
        <v>1</v>
      </c>
      <c r="AD10" s="101"/>
      <c r="AE10" s="102"/>
      <c r="AF10" s="101"/>
      <c r="AG10" s="99"/>
      <c r="AH10" s="103"/>
      <c r="AI10" s="95"/>
      <c r="AJ10" s="92"/>
      <c r="AK10" s="104"/>
      <c r="AL10" s="85"/>
    </row>
    <row r="11" s="1" customFormat="1" ht="18" customHeight="1" spans="1:38">
      <c r="A11" s="67">
        <v>1</v>
      </c>
      <c r="B11" s="68">
        <v>46091</v>
      </c>
      <c r="C11" s="69"/>
      <c r="D11" s="69"/>
      <c r="E11" s="69"/>
      <c r="F11" s="69"/>
      <c r="G11" s="67"/>
      <c r="H11" s="70" t="s">
        <v>57</v>
      </c>
      <c r="I11" s="67" t="s">
        <v>58</v>
      </c>
      <c r="J11" s="20"/>
      <c r="K11" s="25" t="s">
        <v>134</v>
      </c>
      <c r="L11" s="71">
        <v>46086</v>
      </c>
      <c r="M11" s="105">
        <f>709180/2</f>
        <v>354590</v>
      </c>
      <c r="N11" s="71">
        <v>46086</v>
      </c>
      <c r="O11" s="90">
        <f>266.88/2</f>
        <v>133.44</v>
      </c>
      <c r="P11" s="71">
        <v>46083</v>
      </c>
      <c r="Q11" s="74">
        <f>3152625.95/2</f>
        <v>1576312.975</v>
      </c>
      <c r="R11" s="71"/>
      <c r="S11" s="75"/>
      <c r="T11" s="91"/>
      <c r="U11" s="71">
        <v>46087</v>
      </c>
      <c r="V11" s="74">
        <f>4665484/2+350000</f>
        <v>2682742</v>
      </c>
      <c r="W11" s="71">
        <v>46092</v>
      </c>
      <c r="X11" s="77">
        <f>11270000/2</f>
        <v>5635000</v>
      </c>
      <c r="Y11" s="71">
        <v>46083</v>
      </c>
      <c r="Z11" s="77">
        <f>29558776</f>
        <v>29558776</v>
      </c>
      <c r="AA11" s="27">
        <v>46083</v>
      </c>
      <c r="AB11" s="77">
        <v>5000000</v>
      </c>
      <c r="AC11" s="71">
        <v>46094</v>
      </c>
      <c r="AD11" s="80">
        <f>(5000000+262729+1180000)/2</f>
        <v>3221364.5</v>
      </c>
      <c r="AE11" s="27" t="s">
        <v>60</v>
      </c>
      <c r="AF11" s="75">
        <f t="shared" si="5"/>
        <v>48382401.475</v>
      </c>
      <c r="AG11" s="82">
        <f>AF11/AL11</f>
        <v>18257.509990566</v>
      </c>
      <c r="AH11" s="83">
        <f t="shared" ref="AH11:AH21" si="6">AF11/AI11</f>
        <v>130516.324453736</v>
      </c>
      <c r="AI11" s="20">
        <v>370.7</v>
      </c>
      <c r="AJ11" s="67"/>
      <c r="AK11" s="84" t="s">
        <v>40</v>
      </c>
      <c r="AL11" s="85">
        <v>2650</v>
      </c>
    </row>
    <row r="12" s="1" customFormat="1" ht="18" customHeight="1" spans="1:38">
      <c r="A12" s="67">
        <v>2</v>
      </c>
      <c r="B12" s="68">
        <v>46091</v>
      </c>
      <c r="C12" s="69"/>
      <c r="D12" s="69"/>
      <c r="E12" s="69"/>
      <c r="F12" s="69"/>
      <c r="G12" s="67"/>
      <c r="H12" s="70" t="s">
        <v>61</v>
      </c>
      <c r="I12" s="67" t="s">
        <v>62</v>
      </c>
      <c r="J12" s="20"/>
      <c r="K12" s="25" t="s">
        <v>134</v>
      </c>
      <c r="L12" s="71">
        <v>46086</v>
      </c>
      <c r="M12" s="105">
        <f>709180/2</f>
        <v>354590</v>
      </c>
      <c r="N12" s="71">
        <v>46086</v>
      </c>
      <c r="O12" s="90">
        <f>266.88/2</f>
        <v>133.44</v>
      </c>
      <c r="P12" s="71">
        <v>46084</v>
      </c>
      <c r="Q12" s="74">
        <f>3152625.95/2</f>
        <v>1576312.975</v>
      </c>
      <c r="R12" s="71"/>
      <c r="S12" s="75"/>
      <c r="T12" s="91"/>
      <c r="U12" s="71">
        <v>46087</v>
      </c>
      <c r="V12" s="74">
        <f>4665484/2+350000</f>
        <v>2682742</v>
      </c>
      <c r="W12" s="71">
        <v>46092</v>
      </c>
      <c r="X12" s="77">
        <f>11270000/2</f>
        <v>5635000</v>
      </c>
      <c r="Y12" s="71">
        <v>46083</v>
      </c>
      <c r="Z12" s="77">
        <f>21772501</f>
        <v>21772501</v>
      </c>
      <c r="AA12" s="27">
        <v>46083</v>
      </c>
      <c r="AB12" s="77">
        <v>5000000</v>
      </c>
      <c r="AC12" s="71">
        <v>46094</v>
      </c>
      <c r="AD12" s="80">
        <f>(5000000+262729+1180000)/2</f>
        <v>3221364.5</v>
      </c>
      <c r="AE12" s="27" t="s">
        <v>60</v>
      </c>
      <c r="AF12" s="75">
        <f t="shared" si="5"/>
        <v>40596126.475</v>
      </c>
      <c r="AG12" s="82">
        <f t="shared" ref="AG12:AG21" si="7">AF12/AL12</f>
        <v>15319.293009434</v>
      </c>
      <c r="AH12" s="83">
        <f t="shared" si="6"/>
        <v>109512.075735096</v>
      </c>
      <c r="AI12" s="20">
        <v>370.7</v>
      </c>
      <c r="AJ12" s="67"/>
      <c r="AK12" s="84" t="s">
        <v>40</v>
      </c>
      <c r="AL12" s="85">
        <v>2650</v>
      </c>
    </row>
    <row r="13" s="1" customFormat="1" ht="18" customHeight="1" spans="1:38">
      <c r="A13" s="67">
        <v>3</v>
      </c>
      <c r="B13" s="68">
        <v>46098</v>
      </c>
      <c r="C13" s="69"/>
      <c r="D13" s="69"/>
      <c r="E13" s="69"/>
      <c r="F13" s="69"/>
      <c r="G13" s="67" t="s">
        <v>63</v>
      </c>
      <c r="H13" s="70" t="s">
        <v>64</v>
      </c>
      <c r="I13" s="67" t="s">
        <v>65</v>
      </c>
      <c r="J13" s="20" t="s">
        <v>37</v>
      </c>
      <c r="K13" s="25" t="s">
        <v>59</v>
      </c>
      <c r="L13" s="71">
        <v>46068</v>
      </c>
      <c r="M13" s="78">
        <v>90000</v>
      </c>
      <c r="N13" s="71">
        <v>46092</v>
      </c>
      <c r="O13" s="90">
        <f>(147.57+249.18)/2</f>
        <v>198.375</v>
      </c>
      <c r="P13" s="71">
        <v>46092</v>
      </c>
      <c r="Q13" s="74">
        <f>3422389.19/2</f>
        <v>1711194.595</v>
      </c>
      <c r="R13" s="71"/>
      <c r="S13" s="75"/>
      <c r="T13" s="76">
        <v>360</v>
      </c>
      <c r="U13" s="71">
        <v>46093</v>
      </c>
      <c r="V13" s="74">
        <f>4469958/2</f>
        <v>2234979</v>
      </c>
      <c r="W13" s="71">
        <v>46114</v>
      </c>
      <c r="X13" s="89">
        <v>5500000</v>
      </c>
      <c r="Y13" s="71">
        <v>46069</v>
      </c>
      <c r="Z13" s="77">
        <f>11911073+5000000</f>
        <v>16911073</v>
      </c>
      <c r="AA13" s="27">
        <v>46104</v>
      </c>
      <c r="AB13" s="89">
        <f>3500000/2</f>
        <v>1750000</v>
      </c>
      <c r="AC13" s="71">
        <v>46120</v>
      </c>
      <c r="AD13" s="80">
        <f>6980000/2</f>
        <v>3490000</v>
      </c>
      <c r="AE13" s="81" t="s">
        <v>39</v>
      </c>
      <c r="AF13" s="75">
        <f t="shared" si="5"/>
        <v>33166940.345</v>
      </c>
      <c r="AG13" s="82">
        <f t="shared" si="7"/>
        <v>12515.826545283</v>
      </c>
      <c r="AH13" s="83">
        <f t="shared" si="6"/>
        <v>89471.1096439169</v>
      </c>
      <c r="AI13" s="20">
        <v>370.7</v>
      </c>
      <c r="AJ13" s="67"/>
      <c r="AK13" s="84" t="s">
        <v>40</v>
      </c>
      <c r="AL13" s="85">
        <v>2650</v>
      </c>
    </row>
    <row r="14" s="1" customFormat="1" ht="18" customHeight="1" spans="1:38">
      <c r="A14" s="67">
        <v>4</v>
      </c>
      <c r="B14" s="68">
        <v>46101</v>
      </c>
      <c r="C14" s="67" t="s">
        <v>66</v>
      </c>
      <c r="D14" s="67"/>
      <c r="E14" s="67"/>
      <c r="F14" s="67"/>
      <c r="G14" s="67" t="s">
        <v>63</v>
      </c>
      <c r="H14" s="70" t="s">
        <v>67</v>
      </c>
      <c r="I14" s="67" t="s">
        <v>68</v>
      </c>
      <c r="J14" s="20" t="s">
        <v>37</v>
      </c>
      <c r="K14" s="25" t="s">
        <v>59</v>
      </c>
      <c r="L14" s="71">
        <v>46068</v>
      </c>
      <c r="M14" s="78">
        <v>90000</v>
      </c>
      <c r="N14" s="71">
        <v>46092</v>
      </c>
      <c r="O14" s="90">
        <f>(147.57+249.18)/2</f>
        <v>198.375</v>
      </c>
      <c r="P14" s="71">
        <v>46092</v>
      </c>
      <c r="Q14" s="74">
        <f>3422389.19/2</f>
        <v>1711194.595</v>
      </c>
      <c r="R14" s="71"/>
      <c r="S14" s="75"/>
      <c r="T14" s="76">
        <v>200</v>
      </c>
      <c r="U14" s="71">
        <v>46093</v>
      </c>
      <c r="V14" s="74">
        <f>4469958/2</f>
        <v>2234979</v>
      </c>
      <c r="W14" s="71">
        <v>46114</v>
      </c>
      <c r="X14" s="89">
        <v>5500000</v>
      </c>
      <c r="Y14" s="71">
        <v>46069</v>
      </c>
      <c r="Z14" s="77">
        <f>11911073+5000000</f>
        <v>16911073</v>
      </c>
      <c r="AA14" s="27">
        <v>46104</v>
      </c>
      <c r="AB14" s="89">
        <f>3500000/2</f>
        <v>1750000</v>
      </c>
      <c r="AC14" s="71">
        <v>46120</v>
      </c>
      <c r="AD14" s="80">
        <f>6980000/2</f>
        <v>3490000</v>
      </c>
      <c r="AE14" s="81" t="s">
        <v>39</v>
      </c>
      <c r="AF14" s="75">
        <f t="shared" si="5"/>
        <v>32742940.345</v>
      </c>
      <c r="AG14" s="82">
        <f t="shared" si="7"/>
        <v>12355.826545283</v>
      </c>
      <c r="AH14" s="83">
        <f t="shared" si="6"/>
        <v>88327.3276099272</v>
      </c>
      <c r="AI14" s="20">
        <v>370.7</v>
      </c>
      <c r="AJ14" s="67"/>
      <c r="AK14" s="84" t="s">
        <v>40</v>
      </c>
      <c r="AL14" s="85">
        <v>2650</v>
      </c>
    </row>
    <row r="15" s="1" customFormat="1" ht="18" customHeight="1" spans="1:38">
      <c r="A15" s="67">
        <v>5</v>
      </c>
      <c r="B15" s="68">
        <v>46102</v>
      </c>
      <c r="C15" s="69"/>
      <c r="D15" s="69"/>
      <c r="E15" s="69"/>
      <c r="F15" s="69"/>
      <c r="G15" s="67" t="s">
        <v>69</v>
      </c>
      <c r="H15" s="70" t="s">
        <v>70</v>
      </c>
      <c r="I15" s="67" t="s">
        <v>62</v>
      </c>
      <c r="J15" s="20" t="s">
        <v>37</v>
      </c>
      <c r="K15" s="25" t="s">
        <v>59</v>
      </c>
      <c r="L15" s="71">
        <v>46093</v>
      </c>
      <c r="M15" s="105">
        <f t="shared" ref="M15:M19" si="8">180000/5</f>
        <v>36000</v>
      </c>
      <c r="N15" s="71">
        <v>46092</v>
      </c>
      <c r="O15" s="90">
        <f t="shared" ref="O15:O19" si="9">(17.7+622.95)/5</f>
        <v>128.13</v>
      </c>
      <c r="P15" s="71">
        <v>46092</v>
      </c>
      <c r="Q15" s="74">
        <v>1437654.52</v>
      </c>
      <c r="R15" s="71"/>
      <c r="S15" s="75"/>
      <c r="T15" s="91"/>
      <c r="U15" s="71">
        <v>46098</v>
      </c>
      <c r="V15" s="74">
        <f t="shared" ref="V15:V19" si="10">12547087.5/5</f>
        <v>2509417.5</v>
      </c>
      <c r="W15" s="71">
        <v>46114</v>
      </c>
      <c r="X15" s="89">
        <f t="shared" ref="X15:X21" si="11">10000000-4500000</f>
        <v>5500000</v>
      </c>
      <c r="Y15" s="71">
        <v>46070</v>
      </c>
      <c r="Z15" s="77">
        <v>24884058</v>
      </c>
      <c r="AA15" s="27"/>
      <c r="AB15" s="72"/>
      <c r="AC15" s="71">
        <v>46120</v>
      </c>
      <c r="AD15" s="80">
        <f>16723204/5</f>
        <v>3344640.8</v>
      </c>
      <c r="AE15" s="27" t="s">
        <v>60</v>
      </c>
      <c r="AF15" s="75">
        <f t="shared" ref="AF15:AF21" si="12">SUM(O15*AL15,Q15,S15,T15*AL15,V15,X15,Z15,AB15,AD15,M15)</f>
        <v>38051315.32</v>
      </c>
      <c r="AG15" s="82">
        <f t="shared" si="7"/>
        <v>14358.9869132075</v>
      </c>
      <c r="AH15" s="83">
        <f t="shared" si="6"/>
        <v>102647.195360129</v>
      </c>
      <c r="AI15" s="20">
        <v>370.7</v>
      </c>
      <c r="AJ15" s="67"/>
      <c r="AK15" s="84" t="s">
        <v>40</v>
      </c>
      <c r="AL15" s="85">
        <v>2650</v>
      </c>
    </row>
    <row r="16" s="1" customFormat="1" ht="18" customHeight="1" spans="1:38">
      <c r="A16" s="67">
        <v>6</v>
      </c>
      <c r="B16" s="68">
        <v>46103</v>
      </c>
      <c r="C16" s="69"/>
      <c r="D16" s="69">
        <v>28040</v>
      </c>
      <c r="E16" s="69">
        <v>61</v>
      </c>
      <c r="F16" s="69"/>
      <c r="G16" s="67" t="s">
        <v>69</v>
      </c>
      <c r="H16" s="70" t="s">
        <v>71</v>
      </c>
      <c r="I16" s="67" t="s">
        <v>72</v>
      </c>
      <c r="J16" s="20" t="s">
        <v>37</v>
      </c>
      <c r="K16" s="25" t="s">
        <v>59</v>
      </c>
      <c r="L16" s="71">
        <v>46093</v>
      </c>
      <c r="M16" s="105">
        <f t="shared" si="8"/>
        <v>36000</v>
      </c>
      <c r="N16" s="71">
        <v>46092</v>
      </c>
      <c r="O16" s="90">
        <f t="shared" si="9"/>
        <v>128.13</v>
      </c>
      <c r="P16" s="71">
        <v>46092</v>
      </c>
      <c r="Q16" s="74">
        <v>1437654.52</v>
      </c>
      <c r="R16" s="71"/>
      <c r="S16" s="75"/>
      <c r="T16" s="91"/>
      <c r="U16" s="71">
        <v>46098</v>
      </c>
      <c r="V16" s="74">
        <f t="shared" si="10"/>
        <v>2509417.5</v>
      </c>
      <c r="W16" s="71">
        <v>46114</v>
      </c>
      <c r="X16" s="89">
        <f t="shared" si="11"/>
        <v>5500000</v>
      </c>
      <c r="Y16" s="71">
        <v>46070</v>
      </c>
      <c r="Z16" s="77">
        <v>24884058</v>
      </c>
      <c r="AA16" s="27"/>
      <c r="AB16" s="72"/>
      <c r="AC16" s="71">
        <v>46120</v>
      </c>
      <c r="AD16" s="80">
        <f>16723204/5</f>
        <v>3344640.8</v>
      </c>
      <c r="AE16" s="27" t="s">
        <v>60</v>
      </c>
      <c r="AF16" s="75">
        <f t="shared" si="12"/>
        <v>38051315.32</v>
      </c>
      <c r="AG16" s="82">
        <f t="shared" si="7"/>
        <v>14358.9869132075</v>
      </c>
      <c r="AH16" s="83">
        <f t="shared" si="6"/>
        <v>102647.195360129</v>
      </c>
      <c r="AI16" s="20">
        <v>370.7</v>
      </c>
      <c r="AJ16" s="67"/>
      <c r="AK16" s="84" t="s">
        <v>40</v>
      </c>
      <c r="AL16" s="85">
        <v>2650</v>
      </c>
    </row>
    <row r="17" s="1" customFormat="1" ht="18" customHeight="1" spans="1:38">
      <c r="A17" s="67">
        <v>7</v>
      </c>
      <c r="B17" s="68">
        <v>46103</v>
      </c>
      <c r="C17" s="69"/>
      <c r="D17" s="69">
        <v>27680</v>
      </c>
      <c r="E17" s="69">
        <v>55</v>
      </c>
      <c r="F17" s="69"/>
      <c r="G17" s="67" t="s">
        <v>69</v>
      </c>
      <c r="H17" s="70" t="s">
        <v>73</v>
      </c>
      <c r="I17" s="67" t="s">
        <v>74</v>
      </c>
      <c r="J17" s="20" t="s">
        <v>37</v>
      </c>
      <c r="K17" s="25" t="s">
        <v>59</v>
      </c>
      <c r="L17" s="71">
        <v>46093</v>
      </c>
      <c r="M17" s="105">
        <f t="shared" si="8"/>
        <v>36000</v>
      </c>
      <c r="N17" s="71">
        <v>46092</v>
      </c>
      <c r="O17" s="90">
        <f t="shared" si="9"/>
        <v>128.13</v>
      </c>
      <c r="P17" s="71">
        <v>46092</v>
      </c>
      <c r="Q17" s="74">
        <v>1437654.52</v>
      </c>
      <c r="R17" s="71"/>
      <c r="S17" s="75"/>
      <c r="T17" s="91"/>
      <c r="U17" s="71">
        <v>46098</v>
      </c>
      <c r="V17" s="74">
        <f t="shared" si="10"/>
        <v>2509417.5</v>
      </c>
      <c r="W17" s="71">
        <v>46114</v>
      </c>
      <c r="X17" s="89">
        <f t="shared" si="11"/>
        <v>5500000</v>
      </c>
      <c r="Y17" s="71">
        <v>46070</v>
      </c>
      <c r="Z17" s="77">
        <v>24884058</v>
      </c>
      <c r="AA17" s="27"/>
      <c r="AB17" s="72"/>
      <c r="AC17" s="71">
        <v>46120</v>
      </c>
      <c r="AD17" s="80">
        <f>16723204/5</f>
        <v>3344640.8</v>
      </c>
      <c r="AE17" s="27" t="s">
        <v>60</v>
      </c>
      <c r="AF17" s="75">
        <f t="shared" si="12"/>
        <v>38051315.32</v>
      </c>
      <c r="AG17" s="82">
        <f t="shared" si="7"/>
        <v>14358.9869132075</v>
      </c>
      <c r="AH17" s="83">
        <f t="shared" si="6"/>
        <v>102647.195360129</v>
      </c>
      <c r="AI17" s="20">
        <v>370.7</v>
      </c>
      <c r="AJ17" s="67"/>
      <c r="AK17" s="84" t="s">
        <v>40</v>
      </c>
      <c r="AL17" s="85">
        <v>2650</v>
      </c>
    </row>
    <row r="18" s="1" customFormat="1" ht="18" customHeight="1" spans="1:38">
      <c r="A18" s="67">
        <v>8</v>
      </c>
      <c r="B18" s="68">
        <v>46108</v>
      </c>
      <c r="C18" s="69"/>
      <c r="D18" s="69"/>
      <c r="E18" s="69"/>
      <c r="F18" s="69"/>
      <c r="G18" s="67" t="s">
        <v>69</v>
      </c>
      <c r="H18" s="70" t="s">
        <v>75</v>
      </c>
      <c r="I18" s="67" t="s">
        <v>76</v>
      </c>
      <c r="J18" s="20" t="s">
        <v>37</v>
      </c>
      <c r="K18" s="25" t="s">
        <v>59</v>
      </c>
      <c r="L18" s="71">
        <v>46093</v>
      </c>
      <c r="M18" s="105">
        <f t="shared" si="8"/>
        <v>36000</v>
      </c>
      <c r="N18" s="71">
        <v>46092</v>
      </c>
      <c r="O18" s="90">
        <f t="shared" si="9"/>
        <v>128.13</v>
      </c>
      <c r="P18" s="71">
        <v>46092</v>
      </c>
      <c r="Q18" s="74">
        <v>1437654.52</v>
      </c>
      <c r="R18" s="71"/>
      <c r="S18" s="75"/>
      <c r="T18" s="91"/>
      <c r="U18" s="71">
        <v>46098</v>
      </c>
      <c r="V18" s="74">
        <f t="shared" si="10"/>
        <v>2509417.5</v>
      </c>
      <c r="W18" s="71">
        <v>46114</v>
      </c>
      <c r="X18" s="89">
        <f t="shared" si="11"/>
        <v>5500000</v>
      </c>
      <c r="Y18" s="71">
        <v>46070</v>
      </c>
      <c r="Z18" s="77">
        <v>24884058</v>
      </c>
      <c r="AA18" s="27"/>
      <c r="AB18" s="72"/>
      <c r="AC18" s="71">
        <v>46120</v>
      </c>
      <c r="AD18" s="80">
        <f>16723204/5</f>
        <v>3344640.8</v>
      </c>
      <c r="AE18" s="27" t="s">
        <v>60</v>
      </c>
      <c r="AF18" s="75">
        <f t="shared" si="12"/>
        <v>38051315.32</v>
      </c>
      <c r="AG18" s="82">
        <f t="shared" si="7"/>
        <v>14358.9869132075</v>
      </c>
      <c r="AH18" s="83">
        <f t="shared" si="6"/>
        <v>102647.195360129</v>
      </c>
      <c r="AI18" s="20">
        <v>370.7</v>
      </c>
      <c r="AJ18" s="67"/>
      <c r="AK18" s="84" t="s">
        <v>40</v>
      </c>
      <c r="AL18" s="85">
        <v>2650</v>
      </c>
    </row>
    <row r="19" s="1" customFormat="1" ht="18" customHeight="1" spans="1:38">
      <c r="A19" s="67">
        <v>9</v>
      </c>
      <c r="B19" s="68">
        <v>46108</v>
      </c>
      <c r="C19" s="69"/>
      <c r="D19" s="69"/>
      <c r="E19" s="69"/>
      <c r="F19" s="69"/>
      <c r="G19" s="67" t="s">
        <v>69</v>
      </c>
      <c r="H19" s="70" t="s">
        <v>77</v>
      </c>
      <c r="I19" s="67" t="s">
        <v>78</v>
      </c>
      <c r="J19" s="20" t="s">
        <v>37</v>
      </c>
      <c r="K19" s="25" t="s">
        <v>59</v>
      </c>
      <c r="L19" s="71">
        <v>46093</v>
      </c>
      <c r="M19" s="105">
        <f t="shared" si="8"/>
        <v>36000</v>
      </c>
      <c r="N19" s="71">
        <v>46092</v>
      </c>
      <c r="O19" s="90">
        <f t="shared" si="9"/>
        <v>128.13</v>
      </c>
      <c r="P19" s="71">
        <v>46092</v>
      </c>
      <c r="Q19" s="74">
        <v>1437654.52</v>
      </c>
      <c r="R19" s="71"/>
      <c r="S19" s="75"/>
      <c r="T19" s="91"/>
      <c r="U19" s="71">
        <v>46098</v>
      </c>
      <c r="V19" s="74">
        <f t="shared" si="10"/>
        <v>2509417.5</v>
      </c>
      <c r="W19" s="71">
        <v>46114</v>
      </c>
      <c r="X19" s="89">
        <f t="shared" si="11"/>
        <v>5500000</v>
      </c>
      <c r="Y19" s="71">
        <v>46070</v>
      </c>
      <c r="Z19" s="77">
        <v>24884058</v>
      </c>
      <c r="AA19" s="27"/>
      <c r="AB19" s="72"/>
      <c r="AC19" s="71">
        <v>46120</v>
      </c>
      <c r="AD19" s="80">
        <f>16723204/5</f>
        <v>3344640.8</v>
      </c>
      <c r="AE19" s="27" t="s">
        <v>60</v>
      </c>
      <c r="AF19" s="75">
        <f t="shared" si="12"/>
        <v>38051315.32</v>
      </c>
      <c r="AG19" s="82">
        <f t="shared" si="7"/>
        <v>14358.9869132075</v>
      </c>
      <c r="AH19" s="83">
        <f t="shared" si="6"/>
        <v>102647.195360129</v>
      </c>
      <c r="AI19" s="20">
        <v>370.7</v>
      </c>
      <c r="AJ19" s="67"/>
      <c r="AK19" s="84" t="s">
        <v>40</v>
      </c>
      <c r="AL19" s="85">
        <v>2650</v>
      </c>
    </row>
    <row r="20" s="1" customFormat="1" ht="18" customHeight="1" spans="1:38">
      <c r="A20" s="67">
        <v>10</v>
      </c>
      <c r="B20" s="68">
        <v>46109</v>
      </c>
      <c r="C20" s="69"/>
      <c r="D20" s="69"/>
      <c r="E20" s="69"/>
      <c r="F20" s="69"/>
      <c r="G20" s="67" t="s">
        <v>79</v>
      </c>
      <c r="H20" s="70" t="s">
        <v>80</v>
      </c>
      <c r="I20" s="67" t="s">
        <v>68</v>
      </c>
      <c r="J20" s="20" t="s">
        <v>37</v>
      </c>
      <c r="K20" s="25" t="s">
        <v>59</v>
      </c>
      <c r="L20" s="71">
        <v>46092</v>
      </c>
      <c r="M20" s="105">
        <f>189000/2</f>
        <v>94500</v>
      </c>
      <c r="N20" s="71">
        <v>46092</v>
      </c>
      <c r="O20" s="90">
        <f>(249.18+17.7)/2</f>
        <v>133.44</v>
      </c>
      <c r="P20" s="71">
        <v>46101</v>
      </c>
      <c r="Q20" s="106">
        <f>2878014/2</f>
        <v>1439007</v>
      </c>
      <c r="R20" s="71"/>
      <c r="S20" s="75"/>
      <c r="T20" s="91"/>
      <c r="U20" s="71">
        <v>46105</v>
      </c>
      <c r="V20" s="106">
        <f>7242840/2</f>
        <v>3621420</v>
      </c>
      <c r="W20" s="71">
        <v>46114</v>
      </c>
      <c r="X20" s="89">
        <f t="shared" si="11"/>
        <v>5500000</v>
      </c>
      <c r="Y20" s="71">
        <v>46056</v>
      </c>
      <c r="Z20" s="77">
        <v>22984355</v>
      </c>
      <c r="AA20" s="27">
        <v>46071</v>
      </c>
      <c r="AB20" s="77">
        <f>6096117/2</f>
        <v>3048058.5</v>
      </c>
      <c r="AC20" s="71">
        <v>46120</v>
      </c>
      <c r="AD20" s="80">
        <f>6880000/2</f>
        <v>3440000</v>
      </c>
      <c r="AE20" s="27" t="s">
        <v>60</v>
      </c>
      <c r="AF20" s="75">
        <f t="shared" si="12"/>
        <v>40480956.5</v>
      </c>
      <c r="AG20" s="82">
        <f t="shared" si="7"/>
        <v>15275.8326415094</v>
      </c>
      <c r="AH20" s="83">
        <f t="shared" si="6"/>
        <v>109201.393309954</v>
      </c>
      <c r="AI20" s="20">
        <v>370.7</v>
      </c>
      <c r="AJ20" s="67"/>
      <c r="AK20" s="84" t="s">
        <v>40</v>
      </c>
      <c r="AL20" s="85">
        <v>2650</v>
      </c>
    </row>
    <row r="21" s="1" customFormat="1" ht="18" customHeight="1" spans="1:38">
      <c r="A21" s="67">
        <v>11</v>
      </c>
      <c r="B21" s="68">
        <v>46109</v>
      </c>
      <c r="C21" s="69"/>
      <c r="D21" s="69"/>
      <c r="E21" s="69"/>
      <c r="F21" s="69"/>
      <c r="G21" s="67" t="s">
        <v>79</v>
      </c>
      <c r="H21" s="70" t="s">
        <v>81</v>
      </c>
      <c r="I21" s="67" t="s">
        <v>62</v>
      </c>
      <c r="J21" s="20" t="s">
        <v>37</v>
      </c>
      <c r="K21" s="25" t="s">
        <v>59</v>
      </c>
      <c r="L21" s="71">
        <v>46092</v>
      </c>
      <c r="M21" s="105">
        <f>189000/2</f>
        <v>94500</v>
      </c>
      <c r="N21" s="71">
        <v>46092</v>
      </c>
      <c r="O21" s="90">
        <f>(249.18+17.7)/2</f>
        <v>133.44</v>
      </c>
      <c r="P21" s="71">
        <v>46101</v>
      </c>
      <c r="Q21" s="106">
        <f>2878014/2</f>
        <v>1439007</v>
      </c>
      <c r="R21" s="71"/>
      <c r="S21" s="75"/>
      <c r="T21" s="91"/>
      <c r="U21" s="71">
        <v>46105</v>
      </c>
      <c r="V21" s="106">
        <f>7242840/2</f>
        <v>3621420</v>
      </c>
      <c r="W21" s="71">
        <v>46114</v>
      </c>
      <c r="X21" s="89">
        <f t="shared" si="11"/>
        <v>5500000</v>
      </c>
      <c r="Y21" s="71">
        <v>46056</v>
      </c>
      <c r="Z21" s="77">
        <v>22984355</v>
      </c>
      <c r="AA21" s="27">
        <v>46071</v>
      </c>
      <c r="AB21" s="77">
        <f>6096117/2</f>
        <v>3048058.5</v>
      </c>
      <c r="AC21" s="71">
        <v>46120</v>
      </c>
      <c r="AD21" s="80">
        <f>6880000/2</f>
        <v>3440000</v>
      </c>
      <c r="AE21" s="27" t="s">
        <v>60</v>
      </c>
      <c r="AF21" s="75">
        <f t="shared" si="12"/>
        <v>40480956.5</v>
      </c>
      <c r="AG21" s="82">
        <f t="shared" si="7"/>
        <v>15275.8326415094</v>
      </c>
      <c r="AH21" s="83">
        <f t="shared" si="6"/>
        <v>109201.393309954</v>
      </c>
      <c r="AI21" s="20">
        <v>370.7</v>
      </c>
      <c r="AJ21" s="67"/>
      <c r="AK21" s="84" t="s">
        <v>40</v>
      </c>
      <c r="AL21" s="85">
        <v>2650</v>
      </c>
    </row>
    <row r="22" s="1" customFormat="1" ht="18" customHeight="1" spans="1:38">
      <c r="A22" s="67"/>
      <c r="B22" s="67"/>
      <c r="C22" s="69"/>
      <c r="D22" s="69"/>
      <c r="E22" s="69"/>
      <c r="F22" s="69"/>
      <c r="G22" s="67"/>
      <c r="H22" s="67"/>
      <c r="I22" s="67"/>
      <c r="J22" s="20"/>
      <c r="K22" s="25"/>
      <c r="L22" s="71"/>
      <c r="M22" s="107"/>
      <c r="N22" s="71">
        <v>46092</v>
      </c>
      <c r="O22" s="90">
        <v>18</v>
      </c>
      <c r="P22" s="71"/>
      <c r="Q22" s="91"/>
      <c r="R22" s="71"/>
      <c r="S22" s="75"/>
      <c r="T22" s="91"/>
      <c r="U22" s="71"/>
      <c r="V22" s="91"/>
      <c r="W22" s="71"/>
      <c r="X22" s="72"/>
      <c r="Y22" s="71"/>
      <c r="Z22" s="72"/>
      <c r="AA22" s="27"/>
      <c r="AB22" s="72"/>
      <c r="AC22" s="71">
        <v>1</v>
      </c>
      <c r="AD22" s="75" t="s">
        <v>82</v>
      </c>
      <c r="AE22" s="27" t="s">
        <v>82</v>
      </c>
      <c r="AF22" s="108">
        <f>SUM(AF11:AF21)</f>
        <v>426106898.24</v>
      </c>
      <c r="AG22" s="109">
        <f>SUM(AG11:AG21)</f>
        <v>160795.055939623</v>
      </c>
      <c r="AH22" s="110">
        <f>SUM(AH11:AH21)</f>
        <v>1149465.60086323</v>
      </c>
      <c r="AI22" s="20"/>
      <c r="AJ22" s="67"/>
      <c r="AK22" s="84"/>
      <c r="AL22" s="85"/>
    </row>
    <row r="23" s="1" customFormat="1" ht="8" customHeight="1" spans="1:38">
      <c r="A23" s="92"/>
      <c r="B23" s="93"/>
      <c r="C23" s="94"/>
      <c r="D23" s="94"/>
      <c r="E23" s="94"/>
      <c r="F23" s="94"/>
      <c r="G23" s="92"/>
      <c r="H23" s="92"/>
      <c r="I23" s="92"/>
      <c r="J23" s="95"/>
      <c r="K23" s="96"/>
      <c r="L23" s="97"/>
      <c r="M23" s="98"/>
      <c r="N23" s="97"/>
      <c r="O23" s="99"/>
      <c r="P23" s="97"/>
      <c r="Q23" s="100"/>
      <c r="R23" s="100"/>
      <c r="S23" s="101"/>
      <c r="T23" s="100"/>
      <c r="U23" s="97"/>
      <c r="V23" s="100"/>
      <c r="W23" s="97"/>
      <c r="X23" s="98"/>
      <c r="Y23" s="97"/>
      <c r="Z23" s="98"/>
      <c r="AA23" s="102"/>
      <c r="AB23" s="98"/>
      <c r="AC23" s="97">
        <v>1</v>
      </c>
      <c r="AD23" s="101"/>
      <c r="AE23" s="102"/>
      <c r="AF23" s="101"/>
      <c r="AG23" s="99"/>
      <c r="AH23" s="111"/>
      <c r="AI23" s="101"/>
      <c r="AJ23" s="101"/>
      <c r="AK23" s="104"/>
      <c r="AL23" s="85"/>
    </row>
    <row r="24" s="1" customFormat="1" ht="18" customHeight="1" spans="1:38">
      <c r="A24" s="67">
        <v>1</v>
      </c>
      <c r="B24" s="68">
        <v>46119</v>
      </c>
      <c r="C24" s="67" t="s">
        <v>83</v>
      </c>
      <c r="D24" s="20" t="s">
        <v>135</v>
      </c>
      <c r="E24" s="69"/>
      <c r="F24" s="112" t="s">
        <v>60</v>
      </c>
      <c r="G24" s="67" t="s">
        <v>83</v>
      </c>
      <c r="H24" s="67" t="s">
        <v>136</v>
      </c>
      <c r="I24" s="67" t="s">
        <v>137</v>
      </c>
      <c r="J24" s="20" t="s">
        <v>135</v>
      </c>
      <c r="K24" s="25" t="s">
        <v>138</v>
      </c>
      <c r="L24" s="71">
        <v>46106</v>
      </c>
      <c r="M24" s="89">
        <v>180000</v>
      </c>
      <c r="N24" s="71">
        <v>46106</v>
      </c>
      <c r="O24" s="90">
        <v>140</v>
      </c>
      <c r="P24" s="71">
        <v>46104</v>
      </c>
      <c r="Q24" s="106">
        <v>1181404.87</v>
      </c>
      <c r="R24" s="71"/>
      <c r="S24" s="75"/>
      <c r="T24" s="76">
        <f>890+895000/2650+2834.36</f>
        <v>4062.0958490566</v>
      </c>
      <c r="U24" s="113">
        <v>46113</v>
      </c>
      <c r="V24" s="114">
        <v>1000640</v>
      </c>
      <c r="W24" s="71">
        <v>46117</v>
      </c>
      <c r="X24" s="77">
        <v>6200000</v>
      </c>
      <c r="Y24" s="71">
        <v>46104</v>
      </c>
      <c r="Z24" s="89">
        <v>27648536</v>
      </c>
      <c r="AA24" s="27"/>
      <c r="AB24" s="72"/>
      <c r="AC24" s="113">
        <v>46127</v>
      </c>
      <c r="AD24" s="115">
        <f>590000+1812279+2500000+49560</f>
        <v>4951839</v>
      </c>
      <c r="AE24" s="27" t="s">
        <v>39</v>
      </c>
      <c r="AF24" s="75">
        <f>SUM(O24*AL24,Q24,S24,T24*AL24,V24,X24,Z24,AB24,AD24,M24)</f>
        <v>52297973.87</v>
      </c>
      <c r="AG24" s="82">
        <f>AF24/AL24</f>
        <v>19735.0844792453</v>
      </c>
      <c r="AH24" s="83">
        <f>AF24/AI24</f>
        <v>139987.617093605</v>
      </c>
      <c r="AI24" s="20">
        <v>373.59</v>
      </c>
      <c r="AJ24" s="67"/>
      <c r="AK24" s="84" t="s">
        <v>40</v>
      </c>
      <c r="AL24" s="85">
        <v>2650</v>
      </c>
    </row>
    <row r="25" s="1" customFormat="1" ht="18" customHeight="1" spans="1:38">
      <c r="A25" s="67">
        <v>2</v>
      </c>
      <c r="B25" s="68">
        <v>46132</v>
      </c>
      <c r="C25" s="67" t="s">
        <v>85</v>
      </c>
      <c r="D25" s="69"/>
      <c r="E25" s="69"/>
      <c r="F25" s="69"/>
      <c r="G25" s="67" t="s">
        <v>86</v>
      </c>
      <c r="H25" s="116" t="s">
        <v>87</v>
      </c>
      <c r="I25" s="67" t="s">
        <v>139</v>
      </c>
      <c r="J25" s="20" t="s">
        <v>140</v>
      </c>
      <c r="K25" s="67" t="s">
        <v>88</v>
      </c>
      <c r="L25" s="71"/>
      <c r="M25" s="72"/>
      <c r="N25" s="71">
        <v>46123</v>
      </c>
      <c r="O25" s="117">
        <v>1351352.5</v>
      </c>
      <c r="P25" s="71">
        <v>46122</v>
      </c>
      <c r="Q25" s="91">
        <v>1489770.93</v>
      </c>
      <c r="R25" s="82"/>
      <c r="S25" s="75"/>
      <c r="T25" s="118"/>
      <c r="U25" s="113">
        <v>46127</v>
      </c>
      <c r="V25" s="114">
        <v>3660997.2</v>
      </c>
      <c r="W25" s="71">
        <v>46129</v>
      </c>
      <c r="X25" s="72">
        <v>6300000</v>
      </c>
      <c r="Y25" s="71">
        <v>46088</v>
      </c>
      <c r="Z25" s="77">
        <f>12764277+5000000</f>
        <v>17764277</v>
      </c>
      <c r="AA25" s="27"/>
      <c r="AB25" s="72"/>
      <c r="AC25" s="71">
        <v>46181</v>
      </c>
      <c r="AD25" s="75">
        <f>590000</f>
        <v>590000</v>
      </c>
      <c r="AE25" s="27" t="s">
        <v>60</v>
      </c>
      <c r="AF25" s="75">
        <f>SUM(O25,Q25,S25,T25*AL25,V25,X25,Z25,AB25,AD25,M25)</f>
        <v>31156397.63</v>
      </c>
      <c r="AG25" s="82">
        <f>AF25/AL25</f>
        <v>11757.1311811321</v>
      </c>
      <c r="AH25" s="83">
        <f>AF25/AI25</f>
        <v>83397.3008645842</v>
      </c>
      <c r="AI25" s="20">
        <v>373.59</v>
      </c>
      <c r="AJ25" s="67"/>
      <c r="AK25" s="84" t="s">
        <v>40</v>
      </c>
      <c r="AL25" s="85">
        <v>2650</v>
      </c>
    </row>
    <row r="26" s="1" customFormat="1" ht="18" customHeight="1" spans="1:38">
      <c r="A26" s="67">
        <v>3</v>
      </c>
      <c r="B26" s="68">
        <v>46141</v>
      </c>
      <c r="C26" s="67" t="s">
        <v>90</v>
      </c>
      <c r="D26" s="69"/>
      <c r="E26" s="69"/>
      <c r="F26" s="69"/>
      <c r="G26" s="67" t="s">
        <v>91</v>
      </c>
      <c r="H26" s="116" t="s">
        <v>92</v>
      </c>
      <c r="I26" s="67" t="s">
        <v>141</v>
      </c>
      <c r="J26" s="20" t="s">
        <v>140</v>
      </c>
      <c r="K26" s="67" t="s">
        <v>88</v>
      </c>
      <c r="L26" s="20"/>
      <c r="M26" s="20"/>
      <c r="N26" s="119">
        <v>46127</v>
      </c>
      <c r="O26" s="120">
        <v>100</v>
      </c>
      <c r="P26" s="68">
        <v>46131</v>
      </c>
      <c r="Q26" s="75">
        <v>738366</v>
      </c>
      <c r="R26" s="20"/>
      <c r="S26" s="20"/>
      <c r="T26" s="20"/>
      <c r="U26" s="68">
        <v>46133</v>
      </c>
      <c r="V26" s="91">
        <v>1504087</v>
      </c>
      <c r="W26" s="71">
        <v>46139</v>
      </c>
      <c r="X26" s="72">
        <v>6200000</v>
      </c>
      <c r="Y26" s="71">
        <v>46088</v>
      </c>
      <c r="Z26" s="77">
        <f>6298687+5000000</f>
        <v>11298687</v>
      </c>
      <c r="AA26" s="27"/>
      <c r="AB26" s="72"/>
      <c r="AC26" s="71">
        <v>46181</v>
      </c>
      <c r="AD26" s="75">
        <f>887000+3500000</f>
        <v>4387000</v>
      </c>
      <c r="AE26" s="27" t="s">
        <v>60</v>
      </c>
      <c r="AF26" s="75">
        <f>SUM(O26*AL26,Q26,S26,T26*AL26,V26,X26,Z26,AB26,AD26,M26)</f>
        <v>24393140</v>
      </c>
      <c r="AG26" s="82">
        <f>AF26/AL26</f>
        <v>9204.95849056604</v>
      </c>
      <c r="AH26" s="83">
        <f>AF26/AI26</f>
        <v>65293.8783158007</v>
      </c>
      <c r="AI26" s="20">
        <v>373.59</v>
      </c>
      <c r="AJ26" s="67"/>
      <c r="AK26" s="84" t="s">
        <v>40</v>
      </c>
      <c r="AL26" s="85">
        <v>2650</v>
      </c>
    </row>
    <row r="27" s="1" customFormat="1" ht="8" customHeight="1" spans="1:38">
      <c r="A27" s="92"/>
      <c r="B27" s="93"/>
      <c r="C27" s="92"/>
      <c r="D27" s="94"/>
      <c r="E27" s="94"/>
      <c r="F27" s="94"/>
      <c r="G27" s="92"/>
      <c r="H27" s="121"/>
      <c r="I27" s="92"/>
      <c r="J27" s="95"/>
      <c r="K27" s="92"/>
      <c r="L27" s="95"/>
      <c r="M27" s="95"/>
      <c r="N27" s="93"/>
      <c r="O27" s="99"/>
      <c r="P27" s="93"/>
      <c r="Q27" s="101"/>
      <c r="R27" s="95"/>
      <c r="S27" s="95"/>
      <c r="T27" s="95"/>
      <c r="U27" s="93"/>
      <c r="V27" s="100"/>
      <c r="W27" s="97"/>
      <c r="X27" s="98"/>
      <c r="Y27" s="97"/>
      <c r="Z27" s="98"/>
      <c r="AA27" s="102"/>
      <c r="AB27" s="98"/>
      <c r="AC27" s="97">
        <v>1</v>
      </c>
      <c r="AD27" s="101"/>
      <c r="AE27" s="102"/>
      <c r="AF27" s="101"/>
      <c r="AG27" s="99"/>
      <c r="AH27" s="103"/>
      <c r="AI27" s="95"/>
      <c r="AJ27" s="92"/>
      <c r="AK27" s="104"/>
      <c r="AL27" s="85"/>
    </row>
    <row r="28" s="1" customFormat="1" ht="18" customHeight="1" spans="1:38">
      <c r="A28" s="67">
        <v>1</v>
      </c>
      <c r="B28" s="68">
        <v>46158</v>
      </c>
      <c r="C28" s="67" t="s">
        <v>107</v>
      </c>
      <c r="D28" s="20" t="s">
        <v>135</v>
      </c>
      <c r="E28" s="69"/>
      <c r="F28" s="112" t="s">
        <v>60</v>
      </c>
      <c r="G28" s="67" t="s">
        <v>108</v>
      </c>
      <c r="H28" s="67" t="s">
        <v>109</v>
      </c>
      <c r="I28" s="67" t="s">
        <v>142</v>
      </c>
      <c r="J28" s="20" t="s">
        <v>52</v>
      </c>
      <c r="K28" s="25" t="s">
        <v>143</v>
      </c>
      <c r="L28" s="71">
        <v>46147</v>
      </c>
      <c r="M28" s="72">
        <v>30000</v>
      </c>
      <c r="N28" s="71">
        <v>46148</v>
      </c>
      <c r="O28" s="82">
        <f>208+100+200</f>
        <v>508</v>
      </c>
      <c r="P28" s="71">
        <v>46150</v>
      </c>
      <c r="Q28" s="91">
        <v>2081856.56</v>
      </c>
      <c r="R28" s="71"/>
      <c r="S28" s="75"/>
      <c r="T28" s="91">
        <v>210</v>
      </c>
      <c r="U28" s="71">
        <v>46151</v>
      </c>
      <c r="V28" s="91">
        <v>2429325</v>
      </c>
      <c r="W28" s="71">
        <v>46164</v>
      </c>
      <c r="X28" s="72">
        <v>7950000</v>
      </c>
      <c r="Y28" s="71">
        <v>46135</v>
      </c>
      <c r="Z28" s="98">
        <f>11658238+13070+8069950</f>
        <v>19741258</v>
      </c>
      <c r="AA28" s="27">
        <v>46135</v>
      </c>
      <c r="AB28" s="72">
        <f>25000000/5</f>
        <v>5000000</v>
      </c>
      <c r="AC28" s="71">
        <v>46181</v>
      </c>
      <c r="AD28" s="75">
        <f>590000+639934.51+2500000</f>
        <v>3729934.51</v>
      </c>
      <c r="AE28" s="27" t="s">
        <v>39</v>
      </c>
      <c r="AF28" s="75">
        <f>SUM(O28*AL28,Q28,S28,T28*AL28,V28,X28,Z28,AB28,AD28,M28)</f>
        <v>42865074.07</v>
      </c>
      <c r="AG28" s="82">
        <f t="shared" ref="AG28:AG34" si="13">AF28/AL28</f>
        <v>16175.4996490566</v>
      </c>
      <c r="AH28" s="83">
        <f t="shared" ref="AH28:AH34" si="14">AF28/AI28</f>
        <v>114738.280119918</v>
      </c>
      <c r="AI28" s="20">
        <v>373.59</v>
      </c>
      <c r="AJ28" s="67"/>
      <c r="AK28" s="84" t="s">
        <v>40</v>
      </c>
      <c r="AL28" s="85">
        <v>2650</v>
      </c>
    </row>
    <row r="29" s="1" customFormat="1" ht="18" customHeight="1" spans="1:38">
      <c r="A29" s="67">
        <v>2</v>
      </c>
      <c r="B29" s="68">
        <v>46158</v>
      </c>
      <c r="C29" s="67" t="s">
        <v>104</v>
      </c>
      <c r="D29" s="20" t="s">
        <v>135</v>
      </c>
      <c r="E29" s="69"/>
      <c r="F29" s="112" t="s">
        <v>60</v>
      </c>
      <c r="G29" s="67" t="s">
        <v>105</v>
      </c>
      <c r="H29" s="67" t="s">
        <v>106</v>
      </c>
      <c r="I29" s="67" t="s">
        <v>144</v>
      </c>
      <c r="J29" s="20" t="s">
        <v>52</v>
      </c>
      <c r="K29" s="25" t="s">
        <v>143</v>
      </c>
      <c r="L29" s="71">
        <v>46149</v>
      </c>
      <c r="M29" s="72">
        <v>723816</v>
      </c>
      <c r="N29" s="71">
        <v>46147</v>
      </c>
      <c r="O29" s="82">
        <v>208</v>
      </c>
      <c r="P29" s="71">
        <v>46150</v>
      </c>
      <c r="Q29" s="91">
        <v>1615103.28</v>
      </c>
      <c r="R29" s="71"/>
      <c r="S29" s="75"/>
      <c r="T29" s="91">
        <v>270</v>
      </c>
      <c r="U29" s="71">
        <v>46151</v>
      </c>
      <c r="V29" s="91">
        <v>2811645</v>
      </c>
      <c r="W29" s="71">
        <v>46154</v>
      </c>
      <c r="X29" s="72">
        <v>6600000</v>
      </c>
      <c r="Y29" s="71">
        <v>46135</v>
      </c>
      <c r="Z29" s="98">
        <f>23406260+1229114</f>
        <v>24635374</v>
      </c>
      <c r="AA29" s="27">
        <v>46135</v>
      </c>
      <c r="AB29" s="72">
        <f>25000000/5</f>
        <v>5000000</v>
      </c>
      <c r="AC29" s="71">
        <v>46170</v>
      </c>
      <c r="AD29" s="75">
        <f>590000+599095.56+3000000</f>
        <v>4189095.56</v>
      </c>
      <c r="AE29" s="27" t="s">
        <v>39</v>
      </c>
      <c r="AF29" s="75">
        <f>SUM(O29*AL29,Q29,S29,T29*AL29,V29,X29,Z29,AB29,AD29,M29)</f>
        <v>46841733.84</v>
      </c>
      <c r="AG29" s="82">
        <f t="shared" si="13"/>
        <v>17676.1259773585</v>
      </c>
      <c r="AH29" s="83">
        <f t="shared" si="14"/>
        <v>125382.729302176</v>
      </c>
      <c r="AI29" s="20">
        <v>373.59</v>
      </c>
      <c r="AJ29" s="67"/>
      <c r="AK29" s="84" t="s">
        <v>40</v>
      </c>
      <c r="AL29" s="85">
        <v>2650</v>
      </c>
    </row>
    <row r="30" s="1" customFormat="1" ht="18" customHeight="1" spans="1:38">
      <c r="A30" s="67">
        <v>3</v>
      </c>
      <c r="B30" s="68">
        <v>46165</v>
      </c>
      <c r="C30" s="67" t="s">
        <v>99</v>
      </c>
      <c r="D30" s="69"/>
      <c r="E30" s="69"/>
      <c r="F30" s="112" t="s">
        <v>60</v>
      </c>
      <c r="G30" s="67" t="s">
        <v>93</v>
      </c>
      <c r="H30" s="116" t="s">
        <v>100</v>
      </c>
      <c r="I30" s="67" t="s">
        <v>62</v>
      </c>
      <c r="J30" s="20" t="s">
        <v>140</v>
      </c>
      <c r="K30" s="67" t="s">
        <v>88</v>
      </c>
      <c r="L30" s="71">
        <v>46154</v>
      </c>
      <c r="M30" s="72">
        <v>180000</v>
      </c>
      <c r="N30" s="71">
        <v>46148</v>
      </c>
      <c r="O30" s="82">
        <f>100+100</f>
        <v>200</v>
      </c>
      <c r="P30" s="71">
        <v>46155</v>
      </c>
      <c r="Q30" s="91">
        <v>1295086.03</v>
      </c>
      <c r="R30" s="71"/>
      <c r="S30" s="75"/>
      <c r="T30" s="91"/>
      <c r="U30" s="71">
        <v>46159</v>
      </c>
      <c r="V30" s="122">
        <v>2007534</v>
      </c>
      <c r="W30" s="71">
        <v>46163</v>
      </c>
      <c r="X30" s="72">
        <v>7800000</v>
      </c>
      <c r="Y30" s="71"/>
      <c r="Z30" s="72">
        <f>15046367+5000000</f>
        <v>20046367</v>
      </c>
      <c r="AA30" s="27"/>
      <c r="AB30" s="72"/>
      <c r="AC30" s="71">
        <v>46182</v>
      </c>
      <c r="AD30" s="75">
        <f>590000+275200+2500000</f>
        <v>3365200</v>
      </c>
      <c r="AE30" s="27" t="s">
        <v>60</v>
      </c>
      <c r="AF30" s="75">
        <f>SUM(O30*AL30,Q30,S30,T30*AL30,V30,X30,Z30,AB30,AD30,M30)</f>
        <v>35224187.03</v>
      </c>
      <c r="AG30" s="82">
        <f t="shared" si="13"/>
        <v>13292.1460490566</v>
      </c>
      <c r="AH30" s="83">
        <f t="shared" si="14"/>
        <v>94285.6795685109</v>
      </c>
      <c r="AI30" s="20">
        <v>373.59</v>
      </c>
      <c r="AJ30" s="67"/>
      <c r="AK30" s="84" t="s">
        <v>40</v>
      </c>
      <c r="AL30" s="85">
        <v>2650</v>
      </c>
    </row>
    <row r="31" s="1" customFormat="1" ht="18" customHeight="1" spans="1:38">
      <c r="A31" s="67">
        <v>4</v>
      </c>
      <c r="B31" s="68">
        <v>46170</v>
      </c>
      <c r="C31" s="67" t="s">
        <v>145</v>
      </c>
      <c r="D31" s="67" t="s">
        <v>135</v>
      </c>
      <c r="E31" s="69"/>
      <c r="F31" s="69"/>
      <c r="G31" s="67" t="s">
        <v>146</v>
      </c>
      <c r="H31" s="67" t="s">
        <v>147</v>
      </c>
      <c r="I31" s="68" t="s">
        <v>68</v>
      </c>
      <c r="J31" s="20" t="s">
        <v>148</v>
      </c>
      <c r="K31" s="25" t="s">
        <v>149</v>
      </c>
      <c r="L31" s="71">
        <v>46150</v>
      </c>
      <c r="M31" s="89">
        <v>571342</v>
      </c>
      <c r="N31" s="123">
        <v>46163</v>
      </c>
      <c r="O31" s="124">
        <v>208</v>
      </c>
      <c r="P31" s="71">
        <v>46160</v>
      </c>
      <c r="Q31" s="106">
        <v>1661353.8</v>
      </c>
      <c r="R31" s="71"/>
      <c r="S31" s="75"/>
      <c r="T31" s="91"/>
      <c r="U31" s="71">
        <v>46167</v>
      </c>
      <c r="V31" s="106">
        <v>2523621.75</v>
      </c>
      <c r="W31" s="71">
        <v>46170</v>
      </c>
      <c r="X31" s="89">
        <v>7000000</v>
      </c>
      <c r="Y31" s="71">
        <v>46137</v>
      </c>
      <c r="Z31" s="89">
        <f>18542922+14752156</f>
        <v>33295078</v>
      </c>
      <c r="AA31" s="27">
        <v>46135</v>
      </c>
      <c r="AB31" s="89">
        <f>25000000/5</f>
        <v>5000000</v>
      </c>
      <c r="AC31" s="71">
        <v>46182</v>
      </c>
      <c r="AD31" s="75">
        <f>590000+2500000</f>
        <v>3090000</v>
      </c>
      <c r="AE31" s="27" t="s">
        <v>60</v>
      </c>
      <c r="AF31" s="75">
        <f>SUM(O31*AL31,Q31,S31,T31*AL31,V31,X31,Z31,AB31,AD31,M31)</f>
        <v>53682195.55</v>
      </c>
      <c r="AG31" s="82">
        <f t="shared" si="13"/>
        <v>20646.9982884615</v>
      </c>
      <c r="AH31" s="83">
        <f t="shared" si="14"/>
        <v>143692.806418801</v>
      </c>
      <c r="AI31" s="20">
        <v>373.59</v>
      </c>
      <c r="AJ31" s="67" t="s">
        <v>40</v>
      </c>
      <c r="AK31" s="84" t="s">
        <v>150</v>
      </c>
      <c r="AL31" s="85">
        <v>2600</v>
      </c>
    </row>
    <row r="32" s="1" customFormat="1" ht="18" customHeight="1" spans="1:38">
      <c r="A32" s="67">
        <v>5</v>
      </c>
      <c r="B32" s="68">
        <v>46171</v>
      </c>
      <c r="C32" s="67" t="s">
        <v>151</v>
      </c>
      <c r="D32" s="67" t="s">
        <v>135</v>
      </c>
      <c r="E32" s="69"/>
      <c r="F32" s="112" t="s">
        <v>60</v>
      </c>
      <c r="G32" s="67" t="s">
        <v>152</v>
      </c>
      <c r="H32" s="67" t="s">
        <v>153</v>
      </c>
      <c r="I32" s="68" t="s">
        <v>62</v>
      </c>
      <c r="J32" s="20" t="s">
        <v>154</v>
      </c>
      <c r="K32" s="25" t="s">
        <v>149</v>
      </c>
      <c r="L32" s="71">
        <v>46141</v>
      </c>
      <c r="M32" s="89">
        <v>180000</v>
      </c>
      <c r="N32" s="123">
        <v>46163</v>
      </c>
      <c r="O32" s="124">
        <v>208</v>
      </c>
      <c r="P32" s="71">
        <v>46160</v>
      </c>
      <c r="Q32" s="106">
        <v>1703663.22</v>
      </c>
      <c r="R32" s="71"/>
      <c r="S32" s="75"/>
      <c r="T32" s="91"/>
      <c r="U32" s="71">
        <v>46167</v>
      </c>
      <c r="V32" s="106">
        <v>2649409.75</v>
      </c>
      <c r="W32" s="71">
        <v>46170</v>
      </c>
      <c r="X32" s="89">
        <v>7000000</v>
      </c>
      <c r="Y32" s="71">
        <v>46141</v>
      </c>
      <c r="Z32" s="89">
        <f>18297933+7394891+13080</f>
        <v>25705904</v>
      </c>
      <c r="AA32" s="27">
        <v>46135</v>
      </c>
      <c r="AB32" s="89">
        <f>25000000/5</f>
        <v>5000000</v>
      </c>
      <c r="AC32" s="71">
        <v>46182</v>
      </c>
      <c r="AD32" s="75">
        <f>590000+2500000</f>
        <v>3090000</v>
      </c>
      <c r="AE32" s="27" t="s">
        <v>60</v>
      </c>
      <c r="AF32" s="75">
        <f>SUM(O32*AL32,Q32,S32,T32*AL32,V32,X32,Z32,AB32,AD32,M32)</f>
        <v>45869776.97</v>
      </c>
      <c r="AG32" s="82">
        <f t="shared" si="13"/>
        <v>17642.2219115385</v>
      </c>
      <c r="AH32" s="83">
        <f t="shared" si="14"/>
        <v>122781.062046629</v>
      </c>
      <c r="AI32" s="20">
        <v>373.59</v>
      </c>
      <c r="AJ32" s="67" t="s">
        <v>155</v>
      </c>
      <c r="AK32" s="84" t="s">
        <v>150</v>
      </c>
      <c r="AL32" s="85">
        <v>2600</v>
      </c>
    </row>
    <row r="33" s="1" customFormat="1" ht="18" customHeight="1" spans="1:38">
      <c r="A33" s="67">
        <v>6</v>
      </c>
      <c r="B33" s="68">
        <v>46158</v>
      </c>
      <c r="C33" s="67"/>
      <c r="D33" s="67"/>
      <c r="E33" s="69"/>
      <c r="F33" s="112" t="s">
        <v>60</v>
      </c>
      <c r="G33" s="67" t="s">
        <v>156</v>
      </c>
      <c r="H33" s="67" t="s">
        <v>157</v>
      </c>
      <c r="I33" s="67"/>
      <c r="J33" s="67" t="s">
        <v>158</v>
      </c>
      <c r="K33" s="25" t="s">
        <v>159</v>
      </c>
      <c r="L33" s="71">
        <v>46154</v>
      </c>
      <c r="M33" s="125">
        <f>180000/2</f>
        <v>90000</v>
      </c>
      <c r="N33" s="71">
        <v>46151</v>
      </c>
      <c r="O33" s="126">
        <f>467/2</f>
        <v>233.5</v>
      </c>
      <c r="P33" s="71">
        <v>46148</v>
      </c>
      <c r="Q33" s="127">
        <f>2907512.84/2</f>
        <v>1453756.42</v>
      </c>
      <c r="R33" s="71">
        <v>46156</v>
      </c>
      <c r="S33" s="126">
        <v>900</v>
      </c>
      <c r="T33" s="126">
        <v>120</v>
      </c>
      <c r="U33" s="71">
        <v>46159</v>
      </c>
      <c r="V33" s="127">
        <f>7016988/2</f>
        <v>3508494</v>
      </c>
      <c r="W33" s="71">
        <v>46163</v>
      </c>
      <c r="X33" s="128">
        <v>7500000</v>
      </c>
      <c r="Y33" s="71">
        <v>46148</v>
      </c>
      <c r="Z33" s="128">
        <v>18887079</v>
      </c>
      <c r="AA33" s="27">
        <v>46148</v>
      </c>
      <c r="AB33" s="128">
        <v>5000000</v>
      </c>
      <c r="AC33" s="71">
        <v>1</v>
      </c>
      <c r="AD33" s="129">
        <f>930111.3+1180000+5000000</f>
        <v>7110111.3</v>
      </c>
      <c r="AE33" s="27" t="s">
        <v>39</v>
      </c>
      <c r="AF33" s="75">
        <f>SUM(O33*AL33,Q33,S33*AL33,T33*AL33,V33,X33,Z33,AB33,AD33,M33)</f>
        <v>46808540.72</v>
      </c>
      <c r="AG33" s="82">
        <f t="shared" si="13"/>
        <v>18003.2848923077</v>
      </c>
      <c r="AH33" s="83">
        <f t="shared" si="14"/>
        <v>125293.880243047</v>
      </c>
      <c r="AI33" s="20">
        <v>373.59</v>
      </c>
      <c r="AJ33" s="67"/>
      <c r="AK33" s="84" t="s">
        <v>160</v>
      </c>
      <c r="AL33" s="85">
        <v>2600</v>
      </c>
    </row>
    <row r="34" s="1" customFormat="1" ht="18" customHeight="1" spans="1:38">
      <c r="A34" s="67">
        <v>7</v>
      </c>
      <c r="B34" s="68">
        <v>46158</v>
      </c>
      <c r="C34" s="67"/>
      <c r="D34" s="67"/>
      <c r="E34" s="69"/>
      <c r="F34" s="69"/>
      <c r="G34" s="67"/>
      <c r="H34" s="67" t="s">
        <v>161</v>
      </c>
      <c r="I34" s="67"/>
      <c r="J34" s="67" t="s">
        <v>158</v>
      </c>
      <c r="K34" s="25" t="s">
        <v>159</v>
      </c>
      <c r="L34" s="71">
        <v>46154</v>
      </c>
      <c r="M34" s="125">
        <f>180000/2</f>
        <v>90000</v>
      </c>
      <c r="N34" s="71">
        <v>46151</v>
      </c>
      <c r="O34" s="126">
        <f>467/2</f>
        <v>233.5</v>
      </c>
      <c r="P34" s="71">
        <v>46148</v>
      </c>
      <c r="Q34" s="127">
        <f>2907512.84/2</f>
        <v>1453756.42</v>
      </c>
      <c r="R34" s="71">
        <v>46156</v>
      </c>
      <c r="S34" s="126">
        <v>900</v>
      </c>
      <c r="T34" s="82"/>
      <c r="U34" s="71">
        <v>46159</v>
      </c>
      <c r="V34" s="127">
        <f>7016988/2</f>
        <v>3508494</v>
      </c>
      <c r="W34" s="71">
        <v>46163</v>
      </c>
      <c r="X34" s="128">
        <v>7500000</v>
      </c>
      <c r="Y34" s="71">
        <v>46148</v>
      </c>
      <c r="Z34" s="128">
        <v>21130593</v>
      </c>
      <c r="AA34" s="27">
        <v>46148</v>
      </c>
      <c r="AB34" s="128">
        <v>5000000</v>
      </c>
      <c r="AC34" s="71">
        <v>1</v>
      </c>
      <c r="AD34" s="129"/>
      <c r="AE34" s="27" t="s">
        <v>39</v>
      </c>
      <c r="AF34" s="75">
        <f>SUM(O34*AL34,Q34,S34*AL34,T34*AL34,V34,X34,Z34,AB34,AD34,M34)</f>
        <v>41629943.42</v>
      </c>
      <c r="AG34" s="82">
        <f t="shared" si="13"/>
        <v>16011.5167</v>
      </c>
      <c r="AH34" s="83">
        <f t="shared" si="14"/>
        <v>111432.167402768</v>
      </c>
      <c r="AI34" s="20">
        <v>373.59</v>
      </c>
      <c r="AJ34" s="67"/>
      <c r="AK34" s="84" t="s">
        <v>160</v>
      </c>
      <c r="AL34" s="85">
        <v>2600</v>
      </c>
    </row>
    <row r="35" s="1" customFormat="1" ht="7" customHeight="1" spans="1:38">
      <c r="A35" s="130"/>
      <c r="B35" s="131"/>
      <c r="C35" s="130"/>
      <c r="D35" s="130"/>
      <c r="E35" s="132"/>
      <c r="F35" s="132"/>
      <c r="G35" s="130"/>
      <c r="H35" s="130"/>
      <c r="I35" s="131"/>
      <c r="J35" s="133"/>
      <c r="K35" s="134"/>
      <c r="L35" s="135"/>
      <c r="M35" s="136"/>
      <c r="N35" s="135"/>
      <c r="O35" s="137"/>
      <c r="P35" s="135"/>
      <c r="Q35" s="138"/>
      <c r="R35" s="135"/>
      <c r="S35" s="139"/>
      <c r="T35" s="138"/>
      <c r="U35" s="135"/>
      <c r="V35" s="138"/>
      <c r="W35" s="135"/>
      <c r="X35" s="136"/>
      <c r="Y35" s="135"/>
      <c r="Z35" s="136"/>
      <c r="AA35" s="140"/>
      <c r="AB35" s="136"/>
      <c r="AC35" s="71">
        <v>1</v>
      </c>
      <c r="AD35" s="139"/>
      <c r="AE35" s="140"/>
      <c r="AF35" s="139"/>
      <c r="AG35" s="137"/>
      <c r="AH35" s="141"/>
      <c r="AI35" s="133"/>
      <c r="AJ35" s="130"/>
      <c r="AK35" s="142"/>
      <c r="AL35" s="85"/>
    </row>
    <row r="36" customFormat="1" ht="57" customHeight="1" spans="1:38">
      <c r="A36" s="13" t="s">
        <v>1</v>
      </c>
      <c r="B36" s="13" t="s">
        <v>2</v>
      </c>
      <c r="C36" s="55" t="s">
        <v>3</v>
      </c>
      <c r="D36" s="55" t="s">
        <v>4</v>
      </c>
      <c r="E36" s="55" t="s">
        <v>5</v>
      </c>
      <c r="F36" s="55"/>
      <c r="G36" s="13" t="s">
        <v>6</v>
      </c>
      <c r="H36" s="13" t="s">
        <v>7</v>
      </c>
      <c r="I36" s="13" t="s">
        <v>162</v>
      </c>
      <c r="J36" s="13" t="s">
        <v>10</v>
      </c>
      <c r="K36" s="17" t="s">
        <v>163</v>
      </c>
      <c r="L36" s="57" t="s">
        <v>11</v>
      </c>
      <c r="M36" s="58" t="s">
        <v>12</v>
      </c>
      <c r="N36" s="59" t="s">
        <v>13</v>
      </c>
      <c r="O36" s="60" t="s">
        <v>14</v>
      </c>
      <c r="P36" s="57" t="s">
        <v>15</v>
      </c>
      <c r="Q36" s="61" t="s">
        <v>16</v>
      </c>
      <c r="R36" s="57" t="s">
        <v>17</v>
      </c>
      <c r="S36" s="62" t="s">
        <v>18</v>
      </c>
      <c r="T36" s="63" t="s">
        <v>20</v>
      </c>
      <c r="U36" s="57" t="s">
        <v>21</v>
      </c>
      <c r="V36" s="61" t="s">
        <v>22</v>
      </c>
      <c r="W36" s="59" t="s">
        <v>23</v>
      </c>
      <c r="X36" s="58" t="s">
        <v>24</v>
      </c>
      <c r="Y36" s="57" t="s">
        <v>25</v>
      </c>
      <c r="Z36" s="58" t="s">
        <v>26</v>
      </c>
      <c r="AA36" s="64" t="s">
        <v>27</v>
      </c>
      <c r="AB36" s="58" t="s">
        <v>132</v>
      </c>
      <c r="AC36" s="57" t="s">
        <v>29</v>
      </c>
      <c r="AD36" s="62" t="s">
        <v>30</v>
      </c>
      <c r="AE36" s="65" t="s">
        <v>31</v>
      </c>
      <c r="AF36" s="15" t="s">
        <v>32</v>
      </c>
      <c r="AG36" s="60" t="s">
        <v>133</v>
      </c>
      <c r="AH36" s="66" t="s">
        <v>33</v>
      </c>
      <c r="AI36" s="13" t="s">
        <v>34</v>
      </c>
      <c r="AJ36" s="13" t="s">
        <v>164</v>
      </c>
      <c r="AK36" s="66" t="s">
        <v>35</v>
      </c>
      <c r="AL36" s="48"/>
    </row>
    <row r="37" s="1" customFormat="1" ht="18" customHeight="1" spans="1:38">
      <c r="A37" s="67">
        <v>1</v>
      </c>
      <c r="B37" s="68">
        <v>46176</v>
      </c>
      <c r="C37" s="67" t="s">
        <v>101</v>
      </c>
      <c r="D37" s="69"/>
      <c r="E37" s="69"/>
      <c r="F37" s="69"/>
      <c r="G37" s="67"/>
      <c r="H37" s="67" t="s">
        <v>102</v>
      </c>
      <c r="I37" s="67" t="s">
        <v>165</v>
      </c>
      <c r="J37" s="20" t="s">
        <v>140</v>
      </c>
      <c r="K37" s="67" t="s">
        <v>88</v>
      </c>
      <c r="L37" s="71"/>
      <c r="M37" s="72"/>
      <c r="N37" s="143">
        <v>46163</v>
      </c>
      <c r="O37" s="124">
        <f>345/2</f>
        <v>172.5</v>
      </c>
      <c r="P37" s="71">
        <v>46165</v>
      </c>
      <c r="Q37" s="91">
        <f>2094073.48/2</f>
        <v>1047036.74</v>
      </c>
      <c r="R37" s="71"/>
      <c r="S37" s="75"/>
      <c r="T37" s="118"/>
      <c r="U37" s="71">
        <v>46172</v>
      </c>
      <c r="V37" s="91">
        <f>9710833.6/2</f>
        <v>4855416.8</v>
      </c>
      <c r="W37" s="71">
        <v>46174</v>
      </c>
      <c r="X37" s="72">
        <v>7000000</v>
      </c>
      <c r="Y37" s="113">
        <v>46127</v>
      </c>
      <c r="Z37" s="144">
        <v>15915862</v>
      </c>
      <c r="AA37" s="145">
        <v>46127</v>
      </c>
      <c r="AB37" s="144">
        <v>2500000</v>
      </c>
      <c r="AC37" s="113">
        <v>46182</v>
      </c>
      <c r="AD37" s="75">
        <f>(1180000+10000000)/2</f>
        <v>5590000</v>
      </c>
      <c r="AE37" s="27" t="s">
        <v>60</v>
      </c>
      <c r="AF37" s="75">
        <f t="shared" ref="AF37:AF48" si="15">SUM(O37*AL37,Q37,S37,T37*AL37,V37,X37,Z37,AB37,AD37,M37)</f>
        <v>37365440.54</v>
      </c>
      <c r="AG37" s="82">
        <f t="shared" ref="AG37:AG44" si="16">AF37/AL37</f>
        <v>14100.1662415094</v>
      </c>
      <c r="AH37" s="83">
        <f t="shared" ref="AH37:AH48" si="17">AF37/AI37</f>
        <v>100017.239594208</v>
      </c>
      <c r="AI37" s="20">
        <v>373.59</v>
      </c>
      <c r="AJ37" s="67"/>
      <c r="AK37" s="84" t="s">
        <v>40</v>
      </c>
      <c r="AL37" s="85">
        <v>2650</v>
      </c>
    </row>
    <row r="38" s="1" customFormat="1" ht="18" customHeight="1" spans="1:38">
      <c r="A38" s="67">
        <v>2</v>
      </c>
      <c r="B38" s="68">
        <v>46176</v>
      </c>
      <c r="C38" s="67" t="s">
        <v>101</v>
      </c>
      <c r="D38" s="69"/>
      <c r="E38" s="69"/>
      <c r="F38" s="69"/>
      <c r="G38" s="67" t="s">
        <v>166</v>
      </c>
      <c r="H38" s="67" t="s">
        <v>103</v>
      </c>
      <c r="I38" s="67" t="s">
        <v>68</v>
      </c>
      <c r="J38" s="20" t="s">
        <v>140</v>
      </c>
      <c r="K38" s="67" t="s">
        <v>88</v>
      </c>
      <c r="L38" s="71"/>
      <c r="M38" s="72"/>
      <c r="N38" s="123">
        <v>46163</v>
      </c>
      <c r="O38" s="90">
        <f>345/2</f>
        <v>172.5</v>
      </c>
      <c r="P38" s="71">
        <v>46165</v>
      </c>
      <c r="Q38" s="91">
        <f>2094073.48/2</f>
        <v>1047036.74</v>
      </c>
      <c r="R38" s="71"/>
      <c r="S38" s="75"/>
      <c r="T38" s="91"/>
      <c r="U38" s="71">
        <v>46172</v>
      </c>
      <c r="V38" s="91">
        <f>9710833.6/2</f>
        <v>4855416.8</v>
      </c>
      <c r="W38" s="71">
        <v>46174</v>
      </c>
      <c r="X38" s="72">
        <v>7000000</v>
      </c>
      <c r="Y38" s="71"/>
      <c r="Z38" s="72"/>
      <c r="AA38" s="145">
        <v>46127</v>
      </c>
      <c r="AB38" s="144">
        <v>2500000</v>
      </c>
      <c r="AC38" s="71">
        <v>46182</v>
      </c>
      <c r="AD38" s="75">
        <f>(1180000+10000000)/2</f>
        <v>5590000</v>
      </c>
      <c r="AE38" s="27" t="s">
        <v>60</v>
      </c>
      <c r="AF38" s="75">
        <f t="shared" si="15"/>
        <v>21449578.54</v>
      </c>
      <c r="AG38" s="82">
        <f t="shared" si="16"/>
        <v>8094.18058113208</v>
      </c>
      <c r="AH38" s="83">
        <f t="shared" si="17"/>
        <v>57414.7555876763</v>
      </c>
      <c r="AI38" s="20">
        <v>373.59</v>
      </c>
      <c r="AJ38" s="67"/>
      <c r="AK38" s="84" t="s">
        <v>40</v>
      </c>
      <c r="AL38" s="85">
        <v>2650</v>
      </c>
    </row>
    <row r="39" s="1" customFormat="1" ht="18" customHeight="1" spans="1:38">
      <c r="A39" s="67">
        <v>3</v>
      </c>
      <c r="B39" s="68">
        <v>46177</v>
      </c>
      <c r="C39" s="67" t="s">
        <v>167</v>
      </c>
      <c r="D39" s="67" t="s">
        <v>135</v>
      </c>
      <c r="E39" s="69"/>
      <c r="F39" s="69"/>
      <c r="G39" s="67" t="s">
        <v>168</v>
      </c>
      <c r="H39" s="67" t="s">
        <v>169</v>
      </c>
      <c r="I39" s="68" t="s">
        <v>62</v>
      </c>
      <c r="J39" s="20" t="s">
        <v>170</v>
      </c>
      <c r="K39" s="25" t="s">
        <v>149</v>
      </c>
      <c r="L39" s="71">
        <v>46150</v>
      </c>
      <c r="M39" s="89">
        <v>698600</v>
      </c>
      <c r="N39" s="71">
        <v>46177</v>
      </c>
      <c r="O39" s="82">
        <v>142.7</v>
      </c>
      <c r="P39" s="71">
        <v>46168</v>
      </c>
      <c r="Q39" s="106">
        <v>1414733.27</v>
      </c>
      <c r="R39" s="71"/>
      <c r="S39" s="75"/>
      <c r="T39" s="91"/>
      <c r="U39" s="71">
        <v>46174</v>
      </c>
      <c r="V39" s="91">
        <v>2429325</v>
      </c>
      <c r="W39" s="71">
        <v>46177</v>
      </c>
      <c r="X39" s="72">
        <v>7000000</v>
      </c>
      <c r="Y39" s="71">
        <v>46135</v>
      </c>
      <c r="Z39" s="77">
        <f>24515801+10580739</f>
        <v>35096540</v>
      </c>
      <c r="AA39" s="27">
        <v>46135</v>
      </c>
      <c r="AB39" s="89">
        <f>25000000/5</f>
        <v>5000000</v>
      </c>
      <c r="AC39" s="71">
        <v>46181</v>
      </c>
      <c r="AD39" s="75">
        <f>590000+2500000</f>
        <v>3090000</v>
      </c>
      <c r="AE39" s="27" t="s">
        <v>60</v>
      </c>
      <c r="AF39" s="75">
        <f t="shared" si="15"/>
        <v>55103072.27</v>
      </c>
      <c r="AG39" s="82">
        <f t="shared" si="16"/>
        <v>21031.7069732824</v>
      </c>
      <c r="AH39" s="83">
        <f t="shared" si="17"/>
        <v>147496.111432319</v>
      </c>
      <c r="AI39" s="20">
        <v>373.59</v>
      </c>
      <c r="AJ39" s="67" t="s">
        <v>40</v>
      </c>
      <c r="AK39" s="84" t="s">
        <v>150</v>
      </c>
      <c r="AL39" s="85">
        <v>2620</v>
      </c>
    </row>
    <row r="40" s="1" customFormat="1" ht="18" customHeight="1" spans="1:38">
      <c r="A40" s="67">
        <v>4</v>
      </c>
      <c r="B40" s="68">
        <v>46178</v>
      </c>
      <c r="C40" s="67"/>
      <c r="D40" s="67" t="s">
        <v>135</v>
      </c>
      <c r="E40" s="69"/>
      <c r="F40" s="69"/>
      <c r="G40" s="67" t="s">
        <v>171</v>
      </c>
      <c r="H40" s="67" t="s">
        <v>172</v>
      </c>
      <c r="I40" s="67" t="s">
        <v>65</v>
      </c>
      <c r="J40" s="20" t="s">
        <v>173</v>
      </c>
      <c r="K40" s="25" t="s">
        <v>174</v>
      </c>
      <c r="L40" s="71">
        <v>46168</v>
      </c>
      <c r="M40" s="146">
        <f>537340/2</f>
        <v>268670</v>
      </c>
      <c r="N40" s="71">
        <v>46154</v>
      </c>
      <c r="O40" s="147">
        <v>133.45</v>
      </c>
      <c r="P40" s="71">
        <v>46170</v>
      </c>
      <c r="Q40" s="91">
        <f>3215664.52/2</f>
        <v>1607832.26</v>
      </c>
      <c r="R40" s="71"/>
      <c r="S40" s="75"/>
      <c r="T40" s="91"/>
      <c r="U40" s="71">
        <v>46174</v>
      </c>
      <c r="V40" s="91">
        <f>6266508/2</f>
        <v>3133254</v>
      </c>
      <c r="W40" s="71">
        <v>46177</v>
      </c>
      <c r="X40" s="72">
        <v>7000000</v>
      </c>
      <c r="Y40" s="71">
        <v>46165</v>
      </c>
      <c r="Z40" s="72">
        <v>20859673</v>
      </c>
      <c r="AA40" s="27">
        <v>46165</v>
      </c>
      <c r="AB40" s="72">
        <v>5000000</v>
      </c>
      <c r="AC40" s="71">
        <v>46181</v>
      </c>
      <c r="AD40" s="75">
        <f>(1180000+5000000)/2</f>
        <v>3090000</v>
      </c>
      <c r="AE40" s="27" t="s">
        <v>60</v>
      </c>
      <c r="AF40" s="75">
        <f t="shared" si="15"/>
        <v>41306399.26</v>
      </c>
      <c r="AG40" s="82">
        <f t="shared" si="16"/>
        <v>15887.0766384615</v>
      </c>
      <c r="AH40" s="83">
        <f t="shared" si="17"/>
        <v>110566.126662919</v>
      </c>
      <c r="AI40" s="20">
        <v>373.59</v>
      </c>
      <c r="AJ40" s="67" t="s">
        <v>40</v>
      </c>
      <c r="AK40" s="84" t="s">
        <v>174</v>
      </c>
      <c r="AL40" s="85">
        <v>2600</v>
      </c>
    </row>
    <row r="41" s="1" customFormat="1" ht="18" customHeight="1" spans="1:38">
      <c r="A41" s="67">
        <v>5</v>
      </c>
      <c r="B41" s="68">
        <v>46186</v>
      </c>
      <c r="C41" s="67"/>
      <c r="D41" s="67" t="s">
        <v>135</v>
      </c>
      <c r="E41" s="69"/>
      <c r="F41" s="69"/>
      <c r="G41" s="67" t="s">
        <v>171</v>
      </c>
      <c r="H41" s="67" t="s">
        <v>175</v>
      </c>
      <c r="I41" s="148" t="s">
        <v>176</v>
      </c>
      <c r="J41" s="20" t="s">
        <v>173</v>
      </c>
      <c r="K41" s="25" t="s">
        <v>174</v>
      </c>
      <c r="L41" s="71">
        <v>46168</v>
      </c>
      <c r="M41" s="146">
        <f>537340/2</f>
        <v>268670</v>
      </c>
      <c r="N41" s="71">
        <v>46154</v>
      </c>
      <c r="O41" s="147">
        <v>133.45</v>
      </c>
      <c r="P41" s="71">
        <v>46170</v>
      </c>
      <c r="Q41" s="91">
        <f>3215664.52/2</f>
        <v>1607832.26</v>
      </c>
      <c r="R41" s="71"/>
      <c r="S41" s="75"/>
      <c r="T41" s="91"/>
      <c r="U41" s="71">
        <v>46174</v>
      </c>
      <c r="V41" s="91">
        <f>6266508/2</f>
        <v>3133254</v>
      </c>
      <c r="W41" s="71">
        <v>46177</v>
      </c>
      <c r="X41" s="72">
        <v>7000000</v>
      </c>
      <c r="Y41" s="71">
        <v>46165</v>
      </c>
      <c r="Z41" s="72">
        <v>29706961</v>
      </c>
      <c r="AA41" s="27">
        <v>46165</v>
      </c>
      <c r="AB41" s="72">
        <v>5000000</v>
      </c>
      <c r="AC41" s="71">
        <v>46181</v>
      </c>
      <c r="AD41" s="75">
        <f>(1180000+5000000)/2</f>
        <v>3090000</v>
      </c>
      <c r="AE41" s="27" t="s">
        <v>60</v>
      </c>
      <c r="AF41" s="75">
        <f t="shared" si="15"/>
        <v>50153687.26</v>
      </c>
      <c r="AG41" s="82">
        <f t="shared" si="16"/>
        <v>19289.8797153846</v>
      </c>
      <c r="AH41" s="83">
        <f t="shared" si="17"/>
        <v>134247.938274579</v>
      </c>
      <c r="AI41" s="20">
        <v>373.59</v>
      </c>
      <c r="AJ41" s="67" t="s">
        <v>40</v>
      </c>
      <c r="AK41" s="84" t="s">
        <v>174</v>
      </c>
      <c r="AL41" s="85">
        <v>2600</v>
      </c>
    </row>
    <row r="42" s="1" customFormat="1" ht="18" customHeight="1" spans="1:38">
      <c r="A42" s="67">
        <v>6</v>
      </c>
      <c r="B42" s="68">
        <v>46187</v>
      </c>
      <c r="C42" s="67" t="s">
        <v>177</v>
      </c>
      <c r="D42" s="67" t="s">
        <v>135</v>
      </c>
      <c r="E42" s="69"/>
      <c r="F42" s="112" t="s">
        <v>60</v>
      </c>
      <c r="G42" s="67" t="s">
        <v>177</v>
      </c>
      <c r="H42" s="67" t="s">
        <v>178</v>
      </c>
      <c r="I42" s="68" t="s">
        <v>68</v>
      </c>
      <c r="J42" s="20" t="s">
        <v>179</v>
      </c>
      <c r="K42" s="25" t="s">
        <v>180</v>
      </c>
      <c r="L42" s="71">
        <v>46178</v>
      </c>
      <c r="M42" s="146">
        <v>565096</v>
      </c>
      <c r="N42" s="71"/>
      <c r="O42" s="82"/>
      <c r="P42" s="71">
        <v>46168</v>
      </c>
      <c r="Q42" s="91">
        <v>1475911.26</v>
      </c>
      <c r="R42" s="71"/>
      <c r="S42" s="75"/>
      <c r="T42" s="91"/>
      <c r="U42" s="71">
        <v>46183</v>
      </c>
      <c r="V42" s="91">
        <v>3574692</v>
      </c>
      <c r="W42" s="71">
        <v>46184</v>
      </c>
      <c r="X42" s="72">
        <v>7000000</v>
      </c>
      <c r="Y42" s="71">
        <v>46160</v>
      </c>
      <c r="Z42" s="72">
        <f>17180872+7704206</f>
        <v>24885078</v>
      </c>
      <c r="AA42" s="27">
        <v>46160</v>
      </c>
      <c r="AB42" s="72">
        <v>5000000</v>
      </c>
      <c r="AC42" s="71">
        <v>46209</v>
      </c>
      <c r="AD42" s="80">
        <f>590000+2500000</f>
        <v>3090000</v>
      </c>
      <c r="AE42" s="27" t="s">
        <v>60</v>
      </c>
      <c r="AF42" s="75">
        <f t="shared" si="15"/>
        <v>45590777.26</v>
      </c>
      <c r="AG42" s="82">
        <f t="shared" si="16"/>
        <v>17534.9143307692</v>
      </c>
      <c r="AH42" s="83">
        <f t="shared" si="17"/>
        <v>122034.254824808</v>
      </c>
      <c r="AI42" s="20">
        <v>373.59</v>
      </c>
      <c r="AJ42" s="67" t="s">
        <v>181</v>
      </c>
      <c r="AK42" s="84"/>
      <c r="AL42" s="85">
        <v>2600</v>
      </c>
    </row>
    <row r="43" s="1" customFormat="1" ht="18" customHeight="1" spans="1:38">
      <c r="A43" s="67">
        <v>7</v>
      </c>
      <c r="B43" s="68">
        <v>46187</v>
      </c>
      <c r="C43" s="67" t="s">
        <v>182</v>
      </c>
      <c r="D43" s="67" t="s">
        <v>135</v>
      </c>
      <c r="E43" s="69"/>
      <c r="F43" s="69" t="s">
        <v>60</v>
      </c>
      <c r="G43" s="67" t="s">
        <v>183</v>
      </c>
      <c r="H43" s="67" t="s">
        <v>184</v>
      </c>
      <c r="I43" s="67" t="s">
        <v>65</v>
      </c>
      <c r="J43" s="20" t="s">
        <v>185</v>
      </c>
      <c r="K43" s="25" t="s">
        <v>174</v>
      </c>
      <c r="L43" s="71">
        <v>46170</v>
      </c>
      <c r="M43" s="146">
        <v>567940</v>
      </c>
      <c r="N43" s="71">
        <v>46182</v>
      </c>
      <c r="O43" s="82">
        <f>109.95+124.59</f>
        <v>234.54</v>
      </c>
      <c r="P43" s="71">
        <v>46176</v>
      </c>
      <c r="Q43" s="91">
        <v>1250574</v>
      </c>
      <c r="R43" s="71"/>
      <c r="S43" s="75"/>
      <c r="T43" s="91"/>
      <c r="U43" s="71">
        <v>46184</v>
      </c>
      <c r="V43" s="91">
        <v>2811645</v>
      </c>
      <c r="W43" s="71">
        <v>46185</v>
      </c>
      <c r="X43" s="72">
        <v>7000000</v>
      </c>
      <c r="Y43" s="71">
        <v>46163</v>
      </c>
      <c r="Z43" s="72">
        <v>31861920</v>
      </c>
      <c r="AA43" s="27">
        <v>46163</v>
      </c>
      <c r="AB43" s="72">
        <v>5000000</v>
      </c>
      <c r="AC43" s="71">
        <v>46209</v>
      </c>
      <c r="AD43" s="80">
        <f>590000+2500000</f>
        <v>3090000</v>
      </c>
      <c r="AE43" s="27" t="s">
        <v>60</v>
      </c>
      <c r="AF43" s="75">
        <f t="shared" si="15"/>
        <v>52191883</v>
      </c>
      <c r="AG43" s="82">
        <f t="shared" si="16"/>
        <v>20073.8011538462</v>
      </c>
      <c r="AH43" s="83">
        <f t="shared" si="17"/>
        <v>139703.640354399</v>
      </c>
      <c r="AI43" s="20">
        <v>373.59</v>
      </c>
      <c r="AJ43" s="67"/>
      <c r="AK43" s="84" t="s">
        <v>174</v>
      </c>
      <c r="AL43" s="85">
        <v>2600</v>
      </c>
    </row>
    <row r="44" s="1" customFormat="1" ht="18" customHeight="1" spans="1:38">
      <c r="A44" s="67">
        <v>8</v>
      </c>
      <c r="B44" s="68">
        <v>46193</v>
      </c>
      <c r="C44" s="67"/>
      <c r="D44" s="67" t="s">
        <v>135</v>
      </c>
      <c r="E44" s="69"/>
      <c r="F44" s="69"/>
      <c r="G44" s="67" t="s">
        <v>186</v>
      </c>
      <c r="H44" s="67" t="s">
        <v>187</v>
      </c>
      <c r="I44" s="68" t="s">
        <v>68</v>
      </c>
      <c r="J44" s="20" t="s">
        <v>188</v>
      </c>
      <c r="K44" s="25" t="s">
        <v>180</v>
      </c>
      <c r="L44" s="71">
        <v>46185</v>
      </c>
      <c r="M44" s="146">
        <v>180000</v>
      </c>
      <c r="N44" s="71">
        <v>46186</v>
      </c>
      <c r="O44" s="82">
        <v>169.6</v>
      </c>
      <c r="P44" s="71">
        <v>46185</v>
      </c>
      <c r="Q44" s="74">
        <v>1586836.09</v>
      </c>
      <c r="R44" s="71"/>
      <c r="S44" s="75"/>
      <c r="T44" s="91"/>
      <c r="U44" s="71">
        <v>46190</v>
      </c>
      <c r="V44" s="74">
        <v>2116979</v>
      </c>
      <c r="W44" s="71">
        <v>46190</v>
      </c>
      <c r="X44" s="77">
        <v>7000000</v>
      </c>
      <c r="Y44" s="71">
        <v>46178</v>
      </c>
      <c r="Z44" s="72">
        <f>6919905+13244305</f>
        <v>20164210</v>
      </c>
      <c r="AA44" s="27">
        <v>46178</v>
      </c>
      <c r="AB44" s="72">
        <v>5000000</v>
      </c>
      <c r="AC44" s="71">
        <v>46265</v>
      </c>
      <c r="AD44" s="75">
        <f>590000+504380+2500000</f>
        <v>3594380</v>
      </c>
      <c r="AE44" s="27" t="s">
        <v>60</v>
      </c>
      <c r="AF44" s="75">
        <f t="shared" si="15"/>
        <v>40087774.69</v>
      </c>
      <c r="AG44" s="82"/>
      <c r="AH44" s="83">
        <f t="shared" si="17"/>
        <v>107304.196284697</v>
      </c>
      <c r="AI44" s="20">
        <v>373.59</v>
      </c>
      <c r="AJ44" s="67"/>
      <c r="AK44" s="84"/>
      <c r="AL44" s="85">
        <v>2626</v>
      </c>
    </row>
    <row r="45" s="1" customFormat="1" ht="18" customHeight="1" spans="1:38">
      <c r="A45" s="67">
        <v>9</v>
      </c>
      <c r="B45" s="68">
        <v>46204</v>
      </c>
      <c r="C45" s="67" t="s">
        <v>189</v>
      </c>
      <c r="D45" s="67" t="s">
        <v>135</v>
      </c>
      <c r="E45" s="69"/>
      <c r="F45" s="69" t="s">
        <v>60</v>
      </c>
      <c r="G45" s="67" t="s">
        <v>190</v>
      </c>
      <c r="H45" s="67" t="s">
        <v>191</v>
      </c>
      <c r="I45" s="68" t="s">
        <v>192</v>
      </c>
      <c r="J45" s="20" t="s">
        <v>193</v>
      </c>
      <c r="K45" s="25" t="s">
        <v>180</v>
      </c>
      <c r="L45" s="71">
        <v>46188</v>
      </c>
      <c r="M45" s="146">
        <v>390700</v>
      </c>
      <c r="N45" s="71">
        <v>46190</v>
      </c>
      <c r="O45" s="90">
        <f>109.95+124.59+94</f>
        <v>328.54</v>
      </c>
      <c r="P45" s="71">
        <v>46190</v>
      </c>
      <c r="Q45" s="74">
        <v>1217860.65</v>
      </c>
      <c r="R45" s="71"/>
      <c r="S45" s="75"/>
      <c r="T45" s="91"/>
      <c r="U45" s="71">
        <v>46199</v>
      </c>
      <c r="V45" s="74">
        <v>2759577.5</v>
      </c>
      <c r="W45" s="71">
        <v>46202</v>
      </c>
      <c r="X45" s="77">
        <v>7000000</v>
      </c>
      <c r="Y45" s="71">
        <v>46158</v>
      </c>
      <c r="Z45" s="72">
        <f>20663689+9236596</f>
        <v>29900285</v>
      </c>
      <c r="AA45" s="27">
        <v>46158</v>
      </c>
      <c r="AB45" s="77">
        <v>5000000</v>
      </c>
      <c r="AC45" s="71">
        <v>46209</v>
      </c>
      <c r="AD45" s="80">
        <f>590000+2500000</f>
        <v>3090000</v>
      </c>
      <c r="AE45" s="27" t="s">
        <v>60</v>
      </c>
      <c r="AF45" s="75">
        <f t="shared" si="15"/>
        <v>50212627.15</v>
      </c>
      <c r="AG45" s="82">
        <f>AF45/AL45</f>
        <v>19312.5489038462</v>
      </c>
      <c r="AH45" s="83">
        <f t="shared" si="17"/>
        <v>134405.704515645</v>
      </c>
      <c r="AI45" s="20">
        <v>373.59</v>
      </c>
      <c r="AJ45" s="67"/>
      <c r="AK45" s="84" t="s">
        <v>180</v>
      </c>
      <c r="AL45" s="85">
        <v>2600</v>
      </c>
    </row>
    <row r="46" s="1" customFormat="1" ht="18" customHeight="1" spans="1:38">
      <c r="A46" s="67">
        <v>10</v>
      </c>
      <c r="B46" s="68">
        <v>46214</v>
      </c>
      <c r="C46" s="67" t="s">
        <v>194</v>
      </c>
      <c r="D46" s="67" t="s">
        <v>135</v>
      </c>
      <c r="E46" s="69"/>
      <c r="F46" s="69" t="s">
        <v>60</v>
      </c>
      <c r="G46" s="67" t="s">
        <v>195</v>
      </c>
      <c r="H46" s="67" t="s">
        <v>196</v>
      </c>
      <c r="I46" s="68" t="s">
        <v>68</v>
      </c>
      <c r="J46" s="20" t="s">
        <v>197</v>
      </c>
      <c r="K46" s="25" t="s">
        <v>180</v>
      </c>
      <c r="L46" s="71">
        <v>46207</v>
      </c>
      <c r="M46" s="149">
        <v>633510</v>
      </c>
      <c r="N46" s="71">
        <v>46207</v>
      </c>
      <c r="O46" s="90">
        <v>234.54</v>
      </c>
      <c r="P46" s="71">
        <v>46203</v>
      </c>
      <c r="Q46" s="74">
        <f>1739307.88+1565951.16</f>
        <v>3305259.04</v>
      </c>
      <c r="R46" s="71">
        <v>46205</v>
      </c>
      <c r="S46" s="75">
        <v>580000</v>
      </c>
      <c r="T46" s="74">
        <f>40000+26410</f>
        <v>66410</v>
      </c>
      <c r="U46" s="71">
        <v>46209</v>
      </c>
      <c r="V46" s="74">
        <f>2684205</f>
        <v>2684205</v>
      </c>
      <c r="W46" s="71">
        <v>46213</v>
      </c>
      <c r="X46" s="80">
        <v>7000000</v>
      </c>
      <c r="Y46" s="71">
        <v>46196</v>
      </c>
      <c r="Z46" s="77">
        <f>9135049+20355836</f>
        <v>29490885</v>
      </c>
      <c r="AA46" s="27">
        <v>46196</v>
      </c>
      <c r="AB46" s="77">
        <v>5000000</v>
      </c>
      <c r="AC46" s="71">
        <v>46265</v>
      </c>
      <c r="AD46" s="75">
        <f>590000+504380+2500000</f>
        <v>3594380</v>
      </c>
      <c r="AE46" s="27" t="s">
        <v>60</v>
      </c>
      <c r="AF46" s="75">
        <f>SUM(O46*AL46,Q46,S46,T46,V46,X46,Z46,AB46,AD46,M46)</f>
        <v>52980870.84</v>
      </c>
      <c r="AG46" s="82"/>
      <c r="AH46" s="83">
        <f t="shared" si="17"/>
        <v>138331.255456919</v>
      </c>
      <c r="AI46" s="20">
        <v>383</v>
      </c>
      <c r="AJ46" s="67"/>
      <c r="AK46" s="84" t="s">
        <v>180</v>
      </c>
      <c r="AL46" s="85">
        <v>2670</v>
      </c>
    </row>
    <row r="47" s="1" customFormat="1" ht="18" customHeight="1" spans="1:38">
      <c r="A47" s="67">
        <v>11</v>
      </c>
      <c r="B47" s="67" t="s">
        <v>198</v>
      </c>
      <c r="C47" s="67" t="s">
        <v>158</v>
      </c>
      <c r="D47" s="67" t="s">
        <v>158</v>
      </c>
      <c r="E47" s="69"/>
      <c r="F47" s="69"/>
      <c r="G47" s="67" t="s">
        <v>199</v>
      </c>
      <c r="I47" s="67"/>
      <c r="J47" s="20" t="s">
        <v>200</v>
      </c>
      <c r="K47" s="25" t="s">
        <v>158</v>
      </c>
      <c r="L47" s="71"/>
      <c r="M47" s="146"/>
      <c r="N47" s="71">
        <v>46191</v>
      </c>
      <c r="O47" s="90">
        <v>545.31</v>
      </c>
      <c r="P47" s="71">
        <v>46197</v>
      </c>
      <c r="Q47" s="74">
        <v>9448903.64</v>
      </c>
      <c r="R47" s="71">
        <v>46169</v>
      </c>
      <c r="S47" s="75">
        <v>579710.4</v>
      </c>
      <c r="T47" s="91">
        <v>633270.6</v>
      </c>
      <c r="U47" s="71">
        <v>46198</v>
      </c>
      <c r="V47" s="74">
        <v>8611534.98</v>
      </c>
      <c r="W47" s="27">
        <v>46209</v>
      </c>
      <c r="X47" s="77">
        <f>60500000/2</f>
        <v>30250000</v>
      </c>
      <c r="Y47" s="71">
        <v>46190</v>
      </c>
      <c r="Z47" s="77">
        <f>13302750</f>
        <v>13302750</v>
      </c>
      <c r="AA47" s="27"/>
      <c r="AB47" s="72"/>
      <c r="AC47" s="71">
        <v>46209</v>
      </c>
      <c r="AD47" s="80">
        <f>1180000+5000000</f>
        <v>6180000</v>
      </c>
      <c r="AE47" s="27"/>
      <c r="AF47" s="75">
        <f>SUM(O47*AL47,Q47,S47,T47,V47,X47,Z47,AB47,AD47,M47)</f>
        <v>70462147.32</v>
      </c>
      <c r="AG47" s="82"/>
      <c r="AH47" s="83">
        <f t="shared" si="17"/>
        <v>182072.732093023</v>
      </c>
      <c r="AI47" s="20">
        <v>387</v>
      </c>
      <c r="AJ47" s="67"/>
      <c r="AK47" s="84" t="s">
        <v>158</v>
      </c>
      <c r="AL47" s="85">
        <v>2670</v>
      </c>
    </row>
    <row r="48" s="1" customFormat="1" ht="18" customHeight="1" spans="1:38">
      <c r="A48" s="67">
        <v>12</v>
      </c>
      <c r="B48" s="67" t="s">
        <v>198</v>
      </c>
      <c r="C48" s="67" t="s">
        <v>158</v>
      </c>
      <c r="D48" s="67" t="s">
        <v>158</v>
      </c>
      <c r="E48" s="69"/>
      <c r="F48" s="69" t="s">
        <v>60</v>
      </c>
      <c r="G48" s="67" t="s">
        <v>201</v>
      </c>
      <c r="H48" s="67"/>
      <c r="I48" s="67"/>
      <c r="J48" s="20" t="s">
        <v>202</v>
      </c>
      <c r="K48" s="25" t="s">
        <v>158</v>
      </c>
      <c r="L48" s="71"/>
      <c r="M48" s="146"/>
      <c r="N48" s="71">
        <v>46191</v>
      </c>
      <c r="O48" s="90">
        <v>639.63</v>
      </c>
      <c r="P48" s="71">
        <v>46197</v>
      </c>
      <c r="Q48" s="74">
        <v>11804666.14</v>
      </c>
      <c r="R48" s="71">
        <v>46169</v>
      </c>
      <c r="S48" s="75">
        <v>579710.4</v>
      </c>
      <c r="T48" s="91">
        <v>752993.4</v>
      </c>
      <c r="U48" s="71">
        <v>46198</v>
      </c>
      <c r="V48" s="74">
        <v>10298366.22</v>
      </c>
      <c r="W48" s="27">
        <v>46209</v>
      </c>
      <c r="X48" s="77">
        <f>60500000/2</f>
        <v>30250000</v>
      </c>
      <c r="Y48" s="71">
        <v>46190</v>
      </c>
      <c r="Z48" s="77">
        <v>16134162</v>
      </c>
      <c r="AA48" s="27"/>
      <c r="AB48" s="72"/>
      <c r="AC48" s="71">
        <v>46209</v>
      </c>
      <c r="AD48" s="80">
        <f>1180000+5000000</f>
        <v>6180000</v>
      </c>
      <c r="AE48" s="27"/>
      <c r="AF48" s="75">
        <f>SUM(O48*AL48,Q48,S48,T48,V48,X48,Z48,AB48,AD48,M48)</f>
        <v>77707710.26</v>
      </c>
      <c r="AG48" s="82"/>
      <c r="AH48" s="83">
        <f t="shared" si="17"/>
        <v>200795.116950904</v>
      </c>
      <c r="AI48" s="20">
        <v>387</v>
      </c>
      <c r="AJ48" s="67"/>
      <c r="AK48" s="84" t="s">
        <v>158</v>
      </c>
      <c r="AL48" s="85">
        <v>2670</v>
      </c>
    </row>
    <row r="49" s="1" customFormat="1" ht="8" customHeight="1" spans="1:39">
      <c r="A49" s="150"/>
      <c r="B49" s="150"/>
      <c r="C49" s="150"/>
      <c r="D49" s="150"/>
      <c r="E49" s="151"/>
      <c r="F49" s="151"/>
      <c r="G49" s="150"/>
      <c r="H49" s="150"/>
      <c r="I49" s="150"/>
      <c r="J49" s="152"/>
      <c r="K49" s="153"/>
      <c r="L49" s="154"/>
      <c r="M49" s="155"/>
      <c r="N49" s="154"/>
      <c r="O49" s="156"/>
      <c r="P49" s="154"/>
      <c r="Q49" s="157"/>
      <c r="R49" s="154"/>
      <c r="S49" s="158"/>
      <c r="T49" s="157"/>
      <c r="U49" s="154"/>
      <c r="V49" s="157"/>
      <c r="W49" s="159"/>
      <c r="X49" s="160"/>
      <c r="Y49" s="154"/>
      <c r="Z49" s="160"/>
      <c r="AA49" s="159"/>
      <c r="AB49" s="160"/>
      <c r="AC49" s="154"/>
      <c r="AD49" s="158"/>
      <c r="AE49" s="159"/>
      <c r="AF49" s="158"/>
      <c r="AG49" s="156"/>
      <c r="AH49" s="161"/>
      <c r="AI49" s="152"/>
      <c r="AJ49" s="150"/>
      <c r="AK49" s="162"/>
      <c r="AL49" s="85"/>
    </row>
    <row r="50" s="1" customFormat="1" ht="18" customHeight="1" spans="1:39">
      <c r="A50" s="67">
        <v>1</v>
      </c>
      <c r="B50" s="68">
        <v>46239</v>
      </c>
      <c r="C50" s="67" t="s">
        <v>158</v>
      </c>
      <c r="D50" s="67" t="s">
        <v>158</v>
      </c>
      <c r="E50" s="69"/>
      <c r="F50" s="69" t="s">
        <v>60</v>
      </c>
      <c r="G50" s="67" t="s">
        <v>203</v>
      </c>
      <c r="H50" s="67" t="s">
        <v>204</v>
      </c>
      <c r="I50" s="67" t="s">
        <v>205</v>
      </c>
      <c r="J50" s="20" t="s">
        <v>206</v>
      </c>
      <c r="K50" s="25" t="s">
        <v>158</v>
      </c>
      <c r="L50" s="71">
        <v>46233</v>
      </c>
      <c r="M50" s="146">
        <f>180000/4</f>
        <v>45000</v>
      </c>
      <c r="N50" s="71">
        <v>46218</v>
      </c>
      <c r="O50" s="90">
        <f>543.37/4</f>
        <v>135.8425</v>
      </c>
      <c r="P50" s="71">
        <v>46227</v>
      </c>
      <c r="Q50" s="74">
        <f>10984583.67/4</f>
        <v>2746145.9175</v>
      </c>
      <c r="R50" s="71">
        <v>46233</v>
      </c>
      <c r="S50" s="80">
        <f>234441/4</f>
        <v>58610.25</v>
      </c>
      <c r="T50" s="91"/>
      <c r="U50" s="71">
        <v>46235</v>
      </c>
      <c r="V50" s="74">
        <f>19537496/4</f>
        <v>4884374</v>
      </c>
      <c r="W50" s="71">
        <v>46240</v>
      </c>
      <c r="X50" s="77">
        <v>7000000</v>
      </c>
      <c r="Y50" s="71">
        <v>46226</v>
      </c>
      <c r="Z50" s="89">
        <f>73025717/4</f>
        <v>18256429.25</v>
      </c>
      <c r="AA50" s="27">
        <v>46226</v>
      </c>
      <c r="AB50" s="77">
        <f>20000000/4</f>
        <v>5000000</v>
      </c>
      <c r="AC50" s="71">
        <v>46257</v>
      </c>
      <c r="AD50" s="75">
        <f>(3186000+430160+10700000)/4</f>
        <v>3579040</v>
      </c>
      <c r="AE50" s="27" t="s">
        <v>60</v>
      </c>
      <c r="AF50" s="75">
        <f t="shared" ref="AF50:AF55" si="18">SUM(O50*AL50,Q50,S50,T50,V50,X50,Z50,AB50,AD50,M50)</f>
        <v>41932298.8925</v>
      </c>
      <c r="AG50" s="82"/>
      <c r="AH50" s="83">
        <f t="shared" ref="AH50:AH57" si="19">AF50/AI50</f>
        <v>108352.193520672</v>
      </c>
      <c r="AI50" s="20">
        <v>387</v>
      </c>
      <c r="AJ50" s="67"/>
      <c r="AK50" s="84"/>
      <c r="AL50" s="85">
        <v>2670</v>
      </c>
    </row>
    <row r="51" s="1" customFormat="1" ht="18" customHeight="1" spans="1:39">
      <c r="A51" s="67">
        <v>2</v>
      </c>
      <c r="B51" s="68">
        <v>46241</v>
      </c>
      <c r="C51" s="67" t="s">
        <v>158</v>
      </c>
      <c r="D51" s="67" t="s">
        <v>158</v>
      </c>
      <c r="E51" s="69"/>
      <c r="F51" s="69" t="s">
        <v>60</v>
      </c>
      <c r="G51" s="67" t="s">
        <v>203</v>
      </c>
      <c r="H51" s="67" t="s">
        <v>207</v>
      </c>
      <c r="I51" s="67" t="s">
        <v>62</v>
      </c>
      <c r="J51" s="20" t="s">
        <v>208</v>
      </c>
      <c r="K51" s="25" t="s">
        <v>158</v>
      </c>
      <c r="L51" s="71">
        <v>46233</v>
      </c>
      <c r="M51" s="146">
        <f>180000/4</f>
        <v>45000</v>
      </c>
      <c r="N51" s="71">
        <v>46218</v>
      </c>
      <c r="O51" s="90">
        <f>543.37/4</f>
        <v>135.8425</v>
      </c>
      <c r="P51" s="71">
        <v>46227</v>
      </c>
      <c r="Q51" s="74">
        <f>10984583.67/4</f>
        <v>2746145.9175</v>
      </c>
      <c r="R51" s="71">
        <v>46233</v>
      </c>
      <c r="S51" s="80">
        <f>234441/4</f>
        <v>58610.25</v>
      </c>
      <c r="T51" s="91"/>
      <c r="U51" s="71">
        <v>46235</v>
      </c>
      <c r="V51" s="74">
        <f>19537496/4</f>
        <v>4884374</v>
      </c>
      <c r="W51" s="71">
        <v>46240</v>
      </c>
      <c r="X51" s="77">
        <v>7000000</v>
      </c>
      <c r="Y51" s="71">
        <v>46226</v>
      </c>
      <c r="Z51" s="89">
        <f>73025717/4</f>
        <v>18256429.25</v>
      </c>
      <c r="AA51" s="27">
        <v>46226</v>
      </c>
      <c r="AB51" s="77">
        <f>20000000/4</f>
        <v>5000000</v>
      </c>
      <c r="AC51" s="71">
        <v>46257</v>
      </c>
      <c r="AD51" s="75">
        <f>(3186000+430160+10700000)/4</f>
        <v>3579040</v>
      </c>
      <c r="AE51" s="27" t="s">
        <v>60</v>
      </c>
      <c r="AF51" s="75">
        <f t="shared" si="18"/>
        <v>41932298.8925</v>
      </c>
      <c r="AG51" s="82"/>
      <c r="AH51" s="83">
        <f t="shared" si="19"/>
        <v>108352.193520672</v>
      </c>
      <c r="AI51" s="20">
        <v>387</v>
      </c>
      <c r="AJ51" s="67"/>
      <c r="AK51" s="84"/>
      <c r="AL51" s="85">
        <v>2670</v>
      </c>
    </row>
    <row r="52" s="1" customFormat="1" ht="18" customHeight="1" spans="1:39">
      <c r="A52" s="67">
        <v>3</v>
      </c>
      <c r="B52" s="68">
        <v>46241</v>
      </c>
      <c r="C52" s="67" t="s">
        <v>158</v>
      </c>
      <c r="D52" s="67" t="s">
        <v>158</v>
      </c>
      <c r="E52" s="69"/>
      <c r="F52" s="69" t="s">
        <v>60</v>
      </c>
      <c r="G52" s="67" t="s">
        <v>203</v>
      </c>
      <c r="H52" s="67" t="s">
        <v>209</v>
      </c>
      <c r="I52" s="67" t="s">
        <v>58</v>
      </c>
      <c r="J52" s="20" t="s">
        <v>210</v>
      </c>
      <c r="K52" s="25" t="s">
        <v>158</v>
      </c>
      <c r="L52" s="71">
        <v>46233</v>
      </c>
      <c r="M52" s="146">
        <f>180000/4</f>
        <v>45000</v>
      </c>
      <c r="N52" s="71">
        <v>46218</v>
      </c>
      <c r="O52" s="90">
        <f>543.37/4</f>
        <v>135.8425</v>
      </c>
      <c r="P52" s="71">
        <v>46227</v>
      </c>
      <c r="Q52" s="74">
        <f>10984583.67/4</f>
        <v>2746145.9175</v>
      </c>
      <c r="R52" s="71">
        <v>46233</v>
      </c>
      <c r="S52" s="80">
        <f>234441/4</f>
        <v>58610.25</v>
      </c>
      <c r="T52" s="91"/>
      <c r="U52" s="71">
        <v>46235</v>
      </c>
      <c r="V52" s="74">
        <f>19537496/4</f>
        <v>4884374</v>
      </c>
      <c r="W52" s="71">
        <v>46240</v>
      </c>
      <c r="X52" s="77">
        <v>7000000</v>
      </c>
      <c r="Y52" s="71">
        <v>46226</v>
      </c>
      <c r="Z52" s="89">
        <f>73025717/4</f>
        <v>18256429.25</v>
      </c>
      <c r="AA52" s="27">
        <v>46226</v>
      </c>
      <c r="AB52" s="77">
        <f>20000000/4</f>
        <v>5000000</v>
      </c>
      <c r="AC52" s="71">
        <v>46257</v>
      </c>
      <c r="AD52" s="75">
        <f>(3186000+430160+10700000)/4</f>
        <v>3579040</v>
      </c>
      <c r="AE52" s="27" t="s">
        <v>60</v>
      </c>
      <c r="AF52" s="75">
        <f t="shared" si="18"/>
        <v>41932298.8925</v>
      </c>
      <c r="AG52" s="82"/>
      <c r="AH52" s="83">
        <f t="shared" si="19"/>
        <v>108352.193520672</v>
      </c>
      <c r="AI52" s="20">
        <v>387</v>
      </c>
      <c r="AJ52" s="67"/>
      <c r="AK52" s="84"/>
      <c r="AL52" s="85">
        <v>2670</v>
      </c>
    </row>
    <row r="53" s="1" customFormat="1" ht="18" customHeight="1" spans="1:39">
      <c r="A53" s="67">
        <v>4</v>
      </c>
      <c r="B53" s="68">
        <v>46244</v>
      </c>
      <c r="C53" s="67" t="s">
        <v>158</v>
      </c>
      <c r="D53" s="67" t="s">
        <v>158</v>
      </c>
      <c r="E53" s="69"/>
      <c r="F53" s="69" t="s">
        <v>60</v>
      </c>
      <c r="G53" s="67" t="s">
        <v>203</v>
      </c>
      <c r="H53" s="67" t="s">
        <v>211</v>
      </c>
      <c r="I53" s="67" t="s">
        <v>212</v>
      </c>
      <c r="J53" s="20" t="s">
        <v>213</v>
      </c>
      <c r="K53" s="25" t="s">
        <v>158</v>
      </c>
      <c r="L53" s="71">
        <v>46233</v>
      </c>
      <c r="M53" s="146">
        <f>180000/4</f>
        <v>45000</v>
      </c>
      <c r="N53" s="71">
        <v>46218</v>
      </c>
      <c r="O53" s="90">
        <f>543.37/4</f>
        <v>135.8425</v>
      </c>
      <c r="P53" s="71">
        <v>46227</v>
      </c>
      <c r="Q53" s="74">
        <f>10984583.67/4</f>
        <v>2746145.9175</v>
      </c>
      <c r="R53" s="71">
        <v>46233</v>
      </c>
      <c r="S53" s="80">
        <f>234441/4</f>
        <v>58610.25</v>
      </c>
      <c r="T53" s="91"/>
      <c r="U53" s="71">
        <v>46235</v>
      </c>
      <c r="V53" s="74">
        <f>19537496/4</f>
        <v>4884374</v>
      </c>
      <c r="W53" s="71">
        <v>46240</v>
      </c>
      <c r="X53" s="77">
        <v>7000000</v>
      </c>
      <c r="Y53" s="71">
        <v>46226</v>
      </c>
      <c r="Z53" s="89">
        <f>73025717/4</f>
        <v>18256429.25</v>
      </c>
      <c r="AA53" s="27">
        <v>46226</v>
      </c>
      <c r="AB53" s="77">
        <f>20000000/4</f>
        <v>5000000</v>
      </c>
      <c r="AC53" s="71">
        <v>46257</v>
      </c>
      <c r="AD53" s="75">
        <f>(3186000+430160+10700000)/4</f>
        <v>3579040</v>
      </c>
      <c r="AE53" s="27" t="s">
        <v>60</v>
      </c>
      <c r="AF53" s="75">
        <f t="shared" si="18"/>
        <v>41932298.8925</v>
      </c>
      <c r="AG53" s="82"/>
      <c r="AH53" s="83">
        <f t="shared" si="19"/>
        <v>108352.193520672</v>
      </c>
      <c r="AI53" s="20">
        <v>387</v>
      </c>
      <c r="AJ53" s="67"/>
      <c r="AK53" s="84"/>
      <c r="AL53" s="85">
        <v>2670</v>
      </c>
    </row>
    <row r="54" s="1" customFormat="1" ht="18" customHeight="1" spans="1:39">
      <c r="A54" s="67">
        <v>5</v>
      </c>
      <c r="B54" s="68">
        <v>46252</v>
      </c>
      <c r="C54" s="67"/>
      <c r="D54" s="192" t="s">
        <v>214</v>
      </c>
      <c r="E54" s="69"/>
      <c r="F54" s="69" t="s">
        <v>60</v>
      </c>
      <c r="G54" s="67" t="s">
        <v>215</v>
      </c>
      <c r="H54" s="67" t="s">
        <v>216</v>
      </c>
      <c r="I54" s="67" t="s">
        <v>65</v>
      </c>
      <c r="J54" s="20" t="s">
        <v>159</v>
      </c>
      <c r="K54" s="25" t="s">
        <v>217</v>
      </c>
      <c r="L54" s="71">
        <v>46238</v>
      </c>
      <c r="M54" s="149">
        <f>729400/2</f>
        <v>364700</v>
      </c>
      <c r="N54" s="71">
        <v>46224</v>
      </c>
      <c r="O54" s="90">
        <f>494/2</f>
        <v>247</v>
      </c>
      <c r="P54" s="71">
        <v>46238</v>
      </c>
      <c r="Q54" s="74">
        <f>4861355/2</f>
        <v>2430677.5</v>
      </c>
      <c r="R54" s="71"/>
      <c r="S54" s="75"/>
      <c r="T54" s="91"/>
      <c r="U54" s="71">
        <v>46248</v>
      </c>
      <c r="V54" s="74">
        <f>5779404/2</f>
        <v>2889702</v>
      </c>
      <c r="W54" s="71">
        <v>46253</v>
      </c>
      <c r="X54" s="77">
        <v>7000000</v>
      </c>
      <c r="Y54" s="71">
        <v>46238</v>
      </c>
      <c r="Z54" s="77">
        <f>40522267/2</f>
        <v>20261133.5</v>
      </c>
      <c r="AA54" s="27">
        <v>46238</v>
      </c>
      <c r="AB54" s="77">
        <v>5000000</v>
      </c>
      <c r="AC54" s="71">
        <v>46257</v>
      </c>
      <c r="AD54" s="75">
        <f>(1593000+114872+10000000)/2</f>
        <v>5853936</v>
      </c>
      <c r="AE54" s="27" t="s">
        <v>60</v>
      </c>
      <c r="AF54" s="75">
        <f t="shared" si="18"/>
        <v>44459639</v>
      </c>
      <c r="AG54" s="82"/>
      <c r="AH54" s="83">
        <f t="shared" si="19"/>
        <v>114882.788113695</v>
      </c>
      <c r="AI54" s="20">
        <v>387</v>
      </c>
      <c r="AJ54" s="67"/>
      <c r="AK54" s="84"/>
      <c r="AL54" s="85">
        <v>2670</v>
      </c>
    </row>
    <row r="55" s="1" customFormat="1" ht="18" customHeight="1" spans="1:39">
      <c r="A55" s="67">
        <v>6</v>
      </c>
      <c r="B55" s="68">
        <v>46252</v>
      </c>
      <c r="C55" s="67"/>
      <c r="D55" s="192" t="s">
        <v>214</v>
      </c>
      <c r="E55" s="69"/>
      <c r="F55" s="69" t="s">
        <v>60</v>
      </c>
      <c r="G55" s="67" t="s">
        <v>218</v>
      </c>
      <c r="H55" s="67" t="s">
        <v>219</v>
      </c>
      <c r="I55" s="67" t="s">
        <v>62</v>
      </c>
      <c r="J55" s="20" t="s">
        <v>159</v>
      </c>
      <c r="K55" s="25" t="s">
        <v>217</v>
      </c>
      <c r="L55" s="71">
        <v>46238</v>
      </c>
      <c r="M55" s="149">
        <f>729400/2</f>
        <v>364700</v>
      </c>
      <c r="N55" s="71">
        <v>46224</v>
      </c>
      <c r="O55" s="90">
        <f>494/2</f>
        <v>247</v>
      </c>
      <c r="P55" s="71">
        <v>46238</v>
      </c>
      <c r="Q55" s="74">
        <f>4861355/2</f>
        <v>2430677.5</v>
      </c>
      <c r="R55" s="71"/>
      <c r="S55" s="75"/>
      <c r="T55" s="91"/>
      <c r="U55" s="71">
        <v>46248</v>
      </c>
      <c r="V55" s="74">
        <f>5779404/2</f>
        <v>2889702</v>
      </c>
      <c r="W55" s="71">
        <v>46253</v>
      </c>
      <c r="X55" s="77">
        <v>7000000</v>
      </c>
      <c r="Y55" s="71">
        <v>46238</v>
      </c>
      <c r="Z55" s="77">
        <f>40522267/2</f>
        <v>20261133.5</v>
      </c>
      <c r="AA55" s="27">
        <v>46238</v>
      </c>
      <c r="AB55" s="77">
        <v>5000000</v>
      </c>
      <c r="AC55" s="71">
        <v>46257</v>
      </c>
      <c r="AD55" s="75">
        <f>(1593000+114872+10000000)/2</f>
        <v>5853936</v>
      </c>
      <c r="AE55" s="27" t="s">
        <v>60</v>
      </c>
      <c r="AF55" s="75">
        <f t="shared" si="18"/>
        <v>44459639</v>
      </c>
      <c r="AG55" s="82"/>
      <c r="AH55" s="83">
        <f t="shared" si="19"/>
        <v>114882.788113695</v>
      </c>
      <c r="AI55" s="20">
        <v>387</v>
      </c>
      <c r="AJ55" s="67"/>
      <c r="AK55" s="84"/>
      <c r="AL55" s="85">
        <v>2670</v>
      </c>
    </row>
    <row r="56" s="1" customFormat="1" ht="18" customHeight="1" spans="1:39">
      <c r="A56" s="67">
        <v>7</v>
      </c>
      <c r="B56" s="68">
        <v>46255</v>
      </c>
      <c r="C56" s="67" t="s">
        <v>220</v>
      </c>
      <c r="D56" s="67"/>
      <c r="E56" s="69"/>
      <c r="F56" s="69" t="s">
        <v>60</v>
      </c>
      <c r="G56" s="67" t="s">
        <v>221</v>
      </c>
      <c r="H56" s="67" t="s">
        <v>222</v>
      </c>
      <c r="I56" s="67"/>
      <c r="J56" s="20" t="s">
        <v>213</v>
      </c>
      <c r="K56" s="25" t="s">
        <v>223</v>
      </c>
      <c r="L56" s="71">
        <v>46240</v>
      </c>
      <c r="M56" s="149">
        <v>180000</v>
      </c>
      <c r="N56" s="71">
        <v>46240</v>
      </c>
      <c r="O56" s="80">
        <v>232910.41</v>
      </c>
      <c r="P56" s="71">
        <v>46242</v>
      </c>
      <c r="Q56" s="74">
        <v>2945595.69</v>
      </c>
      <c r="R56" s="71"/>
      <c r="S56" s="75"/>
      <c r="T56" s="91"/>
      <c r="U56" s="71">
        <v>46247</v>
      </c>
      <c r="V56" s="74">
        <v>2257800</v>
      </c>
      <c r="W56" s="71">
        <v>46260</v>
      </c>
      <c r="X56" s="77">
        <v>7800000</v>
      </c>
      <c r="Y56" s="71">
        <v>46233</v>
      </c>
      <c r="Z56" s="77">
        <f>4870096+15991530</f>
        <v>20861626</v>
      </c>
      <c r="AA56" s="27">
        <v>46233</v>
      </c>
      <c r="AB56" s="77">
        <v>5000000</v>
      </c>
      <c r="AC56" s="71">
        <v>46257</v>
      </c>
      <c r="AD56" s="75">
        <f>796500+250160+2500000</f>
        <v>3546660</v>
      </c>
      <c r="AE56" s="27" t="s">
        <v>60</v>
      </c>
      <c r="AF56" s="75">
        <f>SUM(O56,Q56,S56,T56,V56,X56,Z56,AB56,AD56,M56)</f>
        <v>42824592.1</v>
      </c>
      <c r="AG56" s="82"/>
      <c r="AH56" s="83">
        <f t="shared" si="19"/>
        <v>110657.860723514</v>
      </c>
      <c r="AI56" s="20">
        <v>387</v>
      </c>
      <c r="AJ56" s="67"/>
      <c r="AK56" s="84" t="s">
        <v>224</v>
      </c>
      <c r="AL56" s="85">
        <v>2670</v>
      </c>
    </row>
    <row r="57" s="37" customFormat="1" ht="18" customHeight="1" spans="1:39">
      <c r="A57" s="67">
        <v>8</v>
      </c>
      <c r="B57" s="68">
        <v>46263</v>
      </c>
      <c r="C57" s="163" t="s">
        <v>225</v>
      </c>
      <c r="D57" s="67" t="s">
        <v>135</v>
      </c>
      <c r="E57" s="164"/>
      <c r="F57" s="164"/>
      <c r="G57" s="67" t="s">
        <v>226</v>
      </c>
      <c r="H57" s="67" t="s">
        <v>227</v>
      </c>
      <c r="I57" s="67"/>
      <c r="J57" s="20" t="s">
        <v>228</v>
      </c>
      <c r="K57" s="25" t="s">
        <v>223</v>
      </c>
      <c r="L57" s="71">
        <v>46252</v>
      </c>
      <c r="M57" s="149">
        <v>805000</v>
      </c>
      <c r="N57" s="71">
        <v>46254</v>
      </c>
      <c r="O57" s="80">
        <v>459014</v>
      </c>
      <c r="P57" s="71">
        <v>46254</v>
      </c>
      <c r="Q57" s="74">
        <v>3028782.65</v>
      </c>
      <c r="R57" s="165"/>
      <c r="S57" s="129"/>
      <c r="T57" s="127"/>
      <c r="U57" s="71">
        <v>46261</v>
      </c>
      <c r="V57" s="74">
        <v>2287512.6</v>
      </c>
      <c r="W57" s="71">
        <v>46261</v>
      </c>
      <c r="X57" s="77">
        <v>7000000</v>
      </c>
      <c r="Y57" s="71">
        <v>46238</v>
      </c>
      <c r="Z57" s="77">
        <v>24049259</v>
      </c>
      <c r="AA57" s="166">
        <v>46238</v>
      </c>
      <c r="AB57" s="77">
        <v>5000000</v>
      </c>
      <c r="AC57" s="165"/>
      <c r="AD57" s="80">
        <f>AD44+AD46+AD50+AD51+AD52+AD53+AD54+AD55+AD56</f>
        <v>36759452</v>
      </c>
      <c r="AE57" s="167" t="s">
        <v>60</v>
      </c>
      <c r="AF57" s="129">
        <f>SUM(O57,Q57,S57,T57,V57,X57,Z57,AB57,AD57,M57)</f>
        <v>79389020.25</v>
      </c>
      <c r="AG57" s="126"/>
      <c r="AH57" s="168">
        <f t="shared" si="19"/>
        <v>205139.587209302</v>
      </c>
      <c r="AI57" s="169">
        <v>387</v>
      </c>
      <c r="AJ57" s="163"/>
      <c r="AK57" s="170"/>
      <c r="AL57" s="171">
        <v>2670</v>
      </c>
    </row>
    <row r="58" s="1" customFormat="1" ht="8" customHeight="1" spans="1:39">
      <c r="A58" s="150"/>
      <c r="B58" s="150"/>
      <c r="C58" s="150"/>
      <c r="D58" s="150"/>
      <c r="E58" s="151"/>
      <c r="F58" s="151"/>
      <c r="G58" s="150"/>
      <c r="H58" s="150"/>
      <c r="I58" s="150"/>
      <c r="J58" s="152"/>
      <c r="K58" s="153"/>
      <c r="L58" s="154"/>
      <c r="M58" s="155"/>
      <c r="N58" s="154"/>
      <c r="O58" s="156"/>
      <c r="P58" s="154"/>
      <c r="Q58" s="157"/>
      <c r="R58" s="154"/>
      <c r="S58" s="158"/>
      <c r="T58" s="157"/>
      <c r="U58" s="154"/>
      <c r="V58" s="157"/>
      <c r="W58" s="154"/>
      <c r="X58" s="160"/>
      <c r="Y58" s="154"/>
      <c r="Z58" s="160"/>
      <c r="AA58" s="159"/>
      <c r="AB58" s="160"/>
      <c r="AC58" s="154"/>
      <c r="AD58" s="158"/>
      <c r="AE58" s="159"/>
      <c r="AF58" s="158"/>
      <c r="AG58" s="156"/>
      <c r="AH58" s="161"/>
      <c r="AI58" s="152"/>
      <c r="AJ58" s="150"/>
      <c r="AK58" s="162"/>
      <c r="AL58" s="85"/>
    </row>
    <row r="59" s="1" customFormat="1" ht="18" customHeight="1" spans="1:39">
      <c r="A59" s="67"/>
      <c r="B59" s="67"/>
      <c r="C59" s="67"/>
      <c r="D59" s="192" t="s">
        <v>229</v>
      </c>
      <c r="E59" s="69"/>
      <c r="F59" s="69"/>
      <c r="G59" s="67" t="s">
        <v>230</v>
      </c>
      <c r="H59" s="67" t="s">
        <v>231</v>
      </c>
      <c r="I59" s="67"/>
      <c r="J59" s="20"/>
      <c r="K59" s="25" t="s">
        <v>232</v>
      </c>
      <c r="L59" s="71"/>
      <c r="M59" s="146"/>
      <c r="N59" s="71"/>
      <c r="O59" s="82"/>
      <c r="P59" s="71"/>
      <c r="Q59" s="91"/>
      <c r="R59" s="71"/>
      <c r="S59" s="75"/>
      <c r="T59" s="91"/>
      <c r="U59" s="71"/>
      <c r="V59" s="91"/>
      <c r="W59" s="71"/>
      <c r="X59" s="72"/>
      <c r="Y59" s="71"/>
      <c r="Z59" s="72"/>
      <c r="AA59" s="27"/>
      <c r="AB59" s="72"/>
      <c r="AC59" s="71"/>
      <c r="AD59" s="75"/>
      <c r="AE59" s="27"/>
      <c r="AF59" s="75"/>
      <c r="AG59" s="82"/>
      <c r="AH59" s="83"/>
      <c r="AI59" s="20"/>
      <c r="AJ59" s="67"/>
      <c r="AK59" s="84"/>
      <c r="AL59" s="85"/>
    </row>
    <row r="60" s="1" customFormat="1" ht="18" customHeight="1" spans="1:39">
      <c r="A60" s="67"/>
      <c r="B60" s="67"/>
      <c r="C60" s="67"/>
      <c r="D60" s="67"/>
      <c r="E60" s="69"/>
      <c r="F60" s="69"/>
      <c r="G60" s="67" t="s">
        <v>233</v>
      </c>
      <c r="H60" s="67"/>
      <c r="I60" s="67"/>
      <c r="J60" s="20"/>
      <c r="K60" s="25" t="s">
        <v>232</v>
      </c>
      <c r="L60" s="71"/>
      <c r="M60" s="146"/>
      <c r="N60" s="71"/>
      <c r="O60" s="82"/>
      <c r="P60" s="71"/>
      <c r="Q60" s="91"/>
      <c r="R60" s="71"/>
      <c r="S60" s="75"/>
      <c r="T60" s="91"/>
      <c r="U60" s="71"/>
      <c r="V60" s="91"/>
      <c r="W60" s="71"/>
      <c r="X60" s="72"/>
      <c r="Y60" s="71"/>
      <c r="Z60" s="72"/>
      <c r="AA60" s="27"/>
      <c r="AB60" s="72"/>
      <c r="AC60" s="71"/>
      <c r="AD60" s="75"/>
      <c r="AE60" s="27"/>
      <c r="AF60" s="75"/>
      <c r="AG60" s="82"/>
      <c r="AH60" s="83"/>
      <c r="AI60" s="20"/>
      <c r="AJ60" s="67"/>
      <c r="AK60" s="84"/>
      <c r="AL60" s="85"/>
    </row>
    <row r="61" s="1" customFormat="1" ht="18" customHeight="1" spans="1:39">
      <c r="A61" s="67"/>
      <c r="B61" s="67"/>
      <c r="C61" s="67"/>
      <c r="D61" s="67"/>
      <c r="E61" s="69"/>
      <c r="F61" s="69"/>
      <c r="G61" s="67" t="s">
        <v>234</v>
      </c>
      <c r="H61" s="67"/>
      <c r="I61" s="67"/>
      <c r="J61" s="20"/>
      <c r="K61" s="25" t="s">
        <v>232</v>
      </c>
      <c r="L61" s="71"/>
      <c r="M61" s="146"/>
      <c r="N61" s="71"/>
      <c r="O61" s="82"/>
      <c r="P61" s="71"/>
      <c r="Q61" s="91"/>
      <c r="R61" s="71"/>
      <c r="S61" s="75"/>
      <c r="T61" s="91"/>
      <c r="U61" s="71"/>
      <c r="V61" s="91"/>
      <c r="W61" s="71"/>
      <c r="X61" s="72"/>
      <c r="Y61" s="71"/>
      <c r="Z61" s="72"/>
      <c r="AA61" s="27"/>
      <c r="AB61" s="72"/>
      <c r="AC61" s="71"/>
      <c r="AD61" s="75"/>
      <c r="AE61" s="27"/>
      <c r="AF61" s="75"/>
      <c r="AG61" s="82"/>
      <c r="AH61" s="83"/>
      <c r="AI61" s="20"/>
      <c r="AJ61" s="67"/>
      <c r="AK61" s="84"/>
      <c r="AL61" s="85"/>
    </row>
    <row r="62" s="1" customFormat="1" ht="18" customHeight="1" spans="1:39">
      <c r="A62" s="67"/>
      <c r="B62" s="67"/>
      <c r="C62" s="67"/>
      <c r="D62" s="67"/>
      <c r="E62" s="69"/>
      <c r="F62" s="69"/>
      <c r="G62" s="67"/>
      <c r="H62" s="67"/>
      <c r="I62" s="67"/>
      <c r="J62" s="20"/>
      <c r="K62" s="25"/>
      <c r="L62" s="71"/>
      <c r="M62" s="146"/>
      <c r="N62" s="71"/>
      <c r="O62" s="82"/>
      <c r="P62" s="71"/>
      <c r="Q62" s="91"/>
      <c r="R62" s="71"/>
      <c r="S62" s="75"/>
      <c r="T62" s="91"/>
      <c r="U62" s="71"/>
      <c r="V62" s="91"/>
      <c r="W62" s="71"/>
      <c r="X62" s="72"/>
      <c r="Y62" s="71"/>
      <c r="Z62" s="72"/>
      <c r="AA62" s="27"/>
      <c r="AB62" s="72"/>
      <c r="AC62" s="71"/>
      <c r="AD62" s="75"/>
      <c r="AE62" s="27"/>
      <c r="AF62" s="75"/>
      <c r="AG62" s="82"/>
      <c r="AH62" s="83"/>
      <c r="AI62" s="20"/>
      <c r="AJ62" s="67"/>
      <c r="AK62" s="84"/>
      <c r="AL62" s="85"/>
    </row>
    <row r="63" s="1" customFormat="1" ht="18" customHeight="1" spans="1:39">
      <c r="A63" s="67"/>
      <c r="B63" s="67"/>
      <c r="C63" s="67"/>
      <c r="D63" s="67"/>
      <c r="E63" s="69"/>
      <c r="F63" s="69"/>
      <c r="G63" s="67"/>
      <c r="H63" s="67"/>
      <c r="I63" s="67"/>
      <c r="J63" s="20"/>
      <c r="K63" s="25"/>
      <c r="L63" s="71"/>
      <c r="M63" s="146"/>
      <c r="N63" s="71"/>
      <c r="O63" s="82"/>
      <c r="P63" s="71"/>
      <c r="Q63" s="91"/>
      <c r="R63" s="71"/>
      <c r="S63" s="75"/>
      <c r="T63" s="91"/>
      <c r="U63" s="71"/>
      <c r="V63" s="91"/>
      <c r="W63" s="71"/>
      <c r="X63" s="72"/>
      <c r="Y63" s="71"/>
      <c r="Z63" s="72"/>
      <c r="AA63" s="27"/>
      <c r="AB63" s="72"/>
      <c r="AC63" s="71"/>
      <c r="AD63" s="75"/>
      <c r="AE63" s="27"/>
      <c r="AF63" s="75"/>
      <c r="AG63" s="82"/>
      <c r="AH63" s="83"/>
      <c r="AI63" s="20"/>
      <c r="AJ63" s="67"/>
      <c r="AK63" s="84"/>
      <c r="AL63" s="85"/>
      <c r="AM63" s="1">
        <f>3186000+430160+1070000+1593000+114872+10000000+796500+250160+2500000+59000+504380+2500000</f>
        <v>23004072</v>
      </c>
    </row>
    <row r="64" s="1" customFormat="1" ht="18" customHeight="1" spans="1:39">
      <c r="A64" s="67"/>
      <c r="B64" s="67"/>
      <c r="C64" s="67"/>
      <c r="D64" s="67"/>
      <c r="E64" s="69"/>
      <c r="F64" s="69"/>
      <c r="G64" s="67"/>
      <c r="H64" s="67"/>
      <c r="I64" s="67"/>
      <c r="J64" s="20"/>
      <c r="K64" s="25"/>
      <c r="L64" s="71"/>
      <c r="M64" s="146"/>
      <c r="N64" s="71"/>
      <c r="O64" s="82"/>
      <c r="P64" s="71"/>
      <c r="Q64" s="91"/>
      <c r="R64" s="71"/>
      <c r="S64" s="75"/>
      <c r="T64" s="91"/>
      <c r="U64" s="71"/>
      <c r="V64" s="91"/>
      <c r="W64" s="71"/>
      <c r="X64" s="72"/>
      <c r="Y64" s="71"/>
      <c r="Z64" s="72"/>
      <c r="AA64" s="27"/>
      <c r="AB64" s="72"/>
      <c r="AC64" s="71"/>
      <c r="AD64" s="75"/>
      <c r="AE64" s="27"/>
      <c r="AF64" s="75"/>
      <c r="AG64" s="82"/>
      <c r="AH64" s="83"/>
      <c r="AI64" s="20"/>
      <c r="AJ64" s="67"/>
      <c r="AK64" s="84"/>
      <c r="AL64" s="85"/>
    </row>
    <row r="65" s="1" customFormat="1" ht="18" customHeight="1" spans="1:38">
      <c r="A65" s="67"/>
      <c r="B65" s="67"/>
      <c r="C65" s="67"/>
      <c r="D65" s="67"/>
      <c r="E65" s="69"/>
      <c r="F65" s="69"/>
      <c r="G65" s="67"/>
      <c r="H65" s="67"/>
      <c r="I65" s="67"/>
      <c r="J65" s="20"/>
      <c r="K65" s="25"/>
      <c r="L65" s="71"/>
      <c r="M65" s="146"/>
      <c r="N65" s="71"/>
      <c r="O65" s="82"/>
      <c r="P65" s="71"/>
      <c r="Q65" s="91"/>
      <c r="R65" s="71"/>
      <c r="S65" s="75"/>
      <c r="T65" s="91"/>
      <c r="U65" s="71"/>
      <c r="V65" s="91"/>
      <c r="W65" s="71"/>
      <c r="X65" s="72"/>
      <c r="Y65" s="71"/>
      <c r="Z65" s="72"/>
      <c r="AA65" s="27"/>
      <c r="AB65" s="72"/>
      <c r="AC65" s="71"/>
      <c r="AD65" s="75"/>
      <c r="AE65" s="27"/>
      <c r="AF65" s="75"/>
      <c r="AG65" s="82"/>
      <c r="AH65" s="83"/>
      <c r="AI65" s="20"/>
      <c r="AJ65" s="67"/>
      <c r="AK65" s="84"/>
      <c r="AL65" s="85"/>
    </row>
    <row r="66" s="1" customFormat="1" ht="18" customHeight="1" spans="1:38">
      <c r="A66" s="67"/>
      <c r="B66" s="67"/>
      <c r="C66" s="67"/>
      <c r="D66" s="67"/>
      <c r="E66" s="69"/>
      <c r="F66" s="69"/>
      <c r="G66" s="67"/>
      <c r="H66" s="67"/>
      <c r="I66" s="67"/>
      <c r="J66" s="20"/>
      <c r="K66" s="25"/>
      <c r="L66" s="71"/>
      <c r="M66" s="146"/>
      <c r="N66" s="71"/>
      <c r="O66" s="82"/>
      <c r="P66" s="71"/>
      <c r="Q66" s="91"/>
      <c r="R66" s="71"/>
      <c r="S66" s="75"/>
      <c r="T66" s="91"/>
      <c r="U66" s="71"/>
      <c r="V66" s="91"/>
      <c r="W66" s="71"/>
      <c r="X66" s="72"/>
      <c r="Y66" s="71"/>
      <c r="Z66" s="72"/>
      <c r="AA66" s="27"/>
      <c r="AB66" s="72"/>
      <c r="AC66" s="71"/>
      <c r="AD66" s="75"/>
      <c r="AE66" s="27"/>
      <c r="AF66" s="75"/>
      <c r="AG66" s="82"/>
      <c r="AH66" s="83"/>
      <c r="AI66" s="20"/>
      <c r="AJ66" s="67"/>
      <c r="AK66" s="84"/>
      <c r="AL66" s="85"/>
    </row>
    <row r="67" s="1" customFormat="1" ht="18" customHeight="1" spans="1:38">
      <c r="A67" s="67"/>
      <c r="B67" s="67"/>
      <c r="C67" s="67"/>
      <c r="D67" s="67"/>
      <c r="E67" s="69"/>
      <c r="F67" s="69"/>
      <c r="G67" s="67"/>
      <c r="H67" s="67"/>
      <c r="I67" s="67"/>
      <c r="J67" s="20"/>
      <c r="K67" s="25"/>
      <c r="L67" s="71"/>
      <c r="M67" s="146"/>
      <c r="N67" s="71"/>
      <c r="O67" s="82"/>
      <c r="P67" s="71"/>
      <c r="Q67" s="91"/>
      <c r="R67" s="71"/>
      <c r="S67" s="75"/>
      <c r="T67" s="91"/>
      <c r="U67" s="71"/>
      <c r="V67" s="91"/>
      <c r="W67" s="71"/>
      <c r="X67" s="72"/>
      <c r="Y67" s="71"/>
      <c r="Z67" s="72"/>
      <c r="AA67" s="27"/>
      <c r="AB67" s="72"/>
      <c r="AC67" s="71"/>
      <c r="AD67" s="75"/>
      <c r="AE67" s="27"/>
      <c r="AF67" s="75"/>
      <c r="AG67" s="82"/>
      <c r="AH67" s="83"/>
      <c r="AI67" s="20"/>
      <c r="AJ67" s="67"/>
      <c r="AK67" s="84"/>
      <c r="AL67" s="85"/>
    </row>
    <row r="68" s="1" customFormat="1" ht="18" customHeight="1" spans="1:38">
      <c r="A68" s="67"/>
      <c r="B68" s="67"/>
      <c r="C68" s="67"/>
      <c r="D68" s="67"/>
      <c r="E68" s="69"/>
      <c r="F68" s="69"/>
      <c r="G68" s="67"/>
      <c r="H68" s="67"/>
      <c r="I68" s="67"/>
      <c r="J68" s="20"/>
      <c r="K68" s="25"/>
      <c r="L68" s="71"/>
      <c r="M68" s="146"/>
      <c r="N68" s="71"/>
      <c r="O68" s="82"/>
      <c r="P68" s="71"/>
      <c r="Q68" s="91"/>
      <c r="R68" s="71"/>
      <c r="S68" s="75"/>
      <c r="T68" s="91"/>
      <c r="U68" s="71"/>
      <c r="V68" s="91"/>
      <c r="W68" s="71"/>
      <c r="X68" s="72"/>
      <c r="Y68" s="71"/>
      <c r="Z68" s="72"/>
      <c r="AA68" s="27"/>
      <c r="AB68" s="72"/>
      <c r="AC68" s="71"/>
      <c r="AD68" s="75"/>
      <c r="AE68" s="27"/>
      <c r="AF68" s="75"/>
      <c r="AG68" s="82"/>
      <c r="AH68" s="83"/>
      <c r="AI68" s="20"/>
      <c r="AJ68" s="67"/>
      <c r="AK68" s="84"/>
      <c r="AL68" s="85"/>
    </row>
    <row r="69" s="1" customFormat="1" ht="18" customHeight="1" spans="1:38">
      <c r="A69" s="67"/>
      <c r="B69" s="67"/>
      <c r="C69" s="67"/>
      <c r="D69" s="67"/>
      <c r="E69" s="69"/>
      <c r="F69" s="69"/>
      <c r="G69" s="67"/>
      <c r="H69" s="67"/>
      <c r="I69" s="67"/>
      <c r="J69" s="20"/>
      <c r="K69" s="25"/>
      <c r="L69" s="71"/>
      <c r="M69" s="146"/>
      <c r="N69" s="71"/>
      <c r="O69" s="82"/>
      <c r="P69" s="71"/>
      <c r="Q69" s="91"/>
      <c r="R69" s="71"/>
      <c r="S69" s="75"/>
      <c r="T69" s="91"/>
      <c r="U69" s="71"/>
      <c r="V69" s="91"/>
      <c r="W69" s="71"/>
      <c r="X69" s="72"/>
      <c r="Y69" s="71"/>
      <c r="Z69" s="72"/>
      <c r="AA69" s="27"/>
      <c r="AB69" s="72"/>
      <c r="AC69" s="71"/>
      <c r="AD69" s="75"/>
      <c r="AE69" s="27"/>
      <c r="AF69" s="75"/>
      <c r="AG69" s="82"/>
      <c r="AH69" s="83"/>
      <c r="AI69" s="20"/>
      <c r="AJ69" s="67"/>
      <c r="AK69" s="84"/>
      <c r="AL69" s="85"/>
    </row>
    <row r="70" s="1" customFormat="1" ht="18" customHeight="1" spans="1:38">
      <c r="A70" s="67"/>
      <c r="B70" s="67"/>
      <c r="C70" s="67"/>
      <c r="D70" s="67"/>
      <c r="E70" s="69"/>
      <c r="F70" s="69"/>
      <c r="G70" s="67"/>
      <c r="H70" s="67"/>
      <c r="I70" s="67"/>
      <c r="J70" s="20"/>
      <c r="K70" s="25"/>
      <c r="L70" s="71"/>
      <c r="M70" s="146"/>
      <c r="N70" s="71"/>
      <c r="O70" s="82"/>
      <c r="P70" s="71"/>
      <c r="Q70" s="91"/>
      <c r="R70" s="71"/>
      <c r="S70" s="75"/>
      <c r="T70" s="91"/>
      <c r="U70" s="71"/>
      <c r="V70" s="91"/>
      <c r="W70" s="71"/>
      <c r="X70" s="72"/>
      <c r="Y70" s="71"/>
      <c r="Z70" s="72"/>
      <c r="AA70" s="27"/>
      <c r="AB70" s="72"/>
      <c r="AC70" s="71"/>
      <c r="AD70" s="75"/>
      <c r="AE70" s="27"/>
      <c r="AF70" s="75"/>
      <c r="AG70" s="82"/>
      <c r="AH70" s="83"/>
      <c r="AI70" s="20"/>
      <c r="AJ70" s="67"/>
      <c r="AK70" s="84"/>
      <c r="AL70" s="85"/>
    </row>
    <row r="71" s="1" customFormat="1" ht="18" customHeight="1" spans="1:38">
      <c r="A71" s="67"/>
      <c r="B71" s="67"/>
      <c r="C71" s="69"/>
      <c r="D71" s="69"/>
      <c r="E71" s="69"/>
      <c r="F71" s="69"/>
      <c r="G71" s="67"/>
      <c r="H71" s="192" t="s">
        <v>110</v>
      </c>
      <c r="I71" s="67"/>
      <c r="J71" s="20" t="s">
        <v>111</v>
      </c>
      <c r="K71" s="25"/>
      <c r="L71" s="71"/>
      <c r="M71" s="72"/>
      <c r="N71" s="71"/>
      <c r="O71" s="82"/>
      <c r="P71" s="71"/>
      <c r="Q71" s="91"/>
      <c r="R71" s="71"/>
      <c r="S71" s="75"/>
      <c r="T71" s="91"/>
      <c r="U71" s="71"/>
      <c r="V71" s="91"/>
      <c r="W71" s="71"/>
      <c r="X71" s="72"/>
      <c r="Y71" s="71"/>
      <c r="Z71" s="72"/>
      <c r="AA71" s="27">
        <v>46058</v>
      </c>
      <c r="AB71" s="72">
        <v>40000</v>
      </c>
      <c r="AC71" s="71"/>
      <c r="AD71" s="75"/>
      <c r="AE71" s="27"/>
      <c r="AF71" s="75">
        <f t="shared" ref="AF71:AF93" si="20">M71+Q71+V71+X71+Z71+AB71+AD71</f>
        <v>40000</v>
      </c>
      <c r="AG71" s="82"/>
      <c r="AH71" s="83"/>
      <c r="AI71" s="20"/>
      <c r="AJ71" s="67"/>
      <c r="AK71" s="84"/>
      <c r="AL71" s="85"/>
    </row>
    <row r="72" s="1" customFormat="1" ht="18" customHeight="1" spans="1:38">
      <c r="A72" s="67"/>
      <c r="B72" s="67"/>
      <c r="C72" s="69"/>
      <c r="D72" s="69"/>
      <c r="E72" s="69"/>
      <c r="F72" s="69"/>
      <c r="G72" s="67"/>
      <c r="H72" s="192" t="s">
        <v>112</v>
      </c>
      <c r="I72" s="67"/>
      <c r="J72" s="20" t="s">
        <v>111</v>
      </c>
      <c r="K72" s="25"/>
      <c r="L72" s="71"/>
      <c r="M72" s="72"/>
      <c r="N72" s="71"/>
      <c r="O72" s="67"/>
      <c r="P72" s="71"/>
      <c r="Q72" s="91"/>
      <c r="R72" s="71"/>
      <c r="S72" s="75"/>
      <c r="T72" s="91"/>
      <c r="U72" s="71"/>
      <c r="V72" s="91"/>
      <c r="W72" s="71"/>
      <c r="X72" s="72"/>
      <c r="Y72" s="71"/>
      <c r="Z72" s="72"/>
      <c r="AA72" s="27">
        <v>46058</v>
      </c>
      <c r="AB72" s="72">
        <v>40000</v>
      </c>
      <c r="AC72" s="71"/>
      <c r="AD72" s="75"/>
      <c r="AE72" s="27"/>
      <c r="AF72" s="75">
        <f t="shared" si="20"/>
        <v>40000</v>
      </c>
      <c r="AG72" s="82"/>
      <c r="AH72" s="83"/>
      <c r="AI72" s="20"/>
      <c r="AJ72" s="67"/>
      <c r="AK72" s="84"/>
      <c r="AL72" s="85"/>
    </row>
    <row r="73" s="1" customFormat="1" ht="18" customHeight="1" spans="1:38">
      <c r="A73" s="67"/>
      <c r="B73" s="67"/>
      <c r="C73" s="69"/>
      <c r="D73" s="69"/>
      <c r="E73" s="69"/>
      <c r="F73" s="69"/>
      <c r="G73" s="67"/>
      <c r="H73" s="192" t="s">
        <v>110</v>
      </c>
      <c r="I73" s="67"/>
      <c r="J73" s="20" t="s">
        <v>111</v>
      </c>
      <c r="K73" s="25"/>
      <c r="L73" s="71"/>
      <c r="M73" s="72"/>
      <c r="N73" s="71"/>
      <c r="O73" s="67"/>
      <c r="P73" s="71"/>
      <c r="Q73" s="91"/>
      <c r="R73" s="71"/>
      <c r="S73" s="75"/>
      <c r="T73" s="91"/>
      <c r="U73" s="71"/>
      <c r="V73" s="91"/>
      <c r="W73" s="71"/>
      <c r="X73" s="72"/>
      <c r="Y73" s="71"/>
      <c r="Z73" s="72"/>
      <c r="AA73" s="27">
        <v>46058</v>
      </c>
      <c r="AB73" s="72">
        <v>40000</v>
      </c>
      <c r="AC73" s="71"/>
      <c r="AD73" s="75"/>
      <c r="AE73" s="27"/>
      <c r="AF73" s="75">
        <f t="shared" si="20"/>
        <v>40000</v>
      </c>
      <c r="AG73" s="82"/>
      <c r="AH73" s="83"/>
      <c r="AI73" s="20"/>
      <c r="AJ73" s="67"/>
      <c r="AK73" s="84"/>
      <c r="AL73" s="85"/>
    </row>
    <row r="74" s="1" customFormat="1" ht="18" customHeight="1" spans="1:38">
      <c r="A74" s="67"/>
      <c r="B74" s="67"/>
      <c r="C74" s="69"/>
      <c r="D74" s="69"/>
      <c r="E74" s="69"/>
      <c r="F74" s="69"/>
      <c r="G74" s="67"/>
      <c r="H74" s="192" t="s">
        <v>113</v>
      </c>
      <c r="I74" s="67"/>
      <c r="J74" s="20" t="s">
        <v>111</v>
      </c>
      <c r="K74" s="25"/>
      <c r="L74" s="71"/>
      <c r="M74" s="72"/>
      <c r="N74" s="71"/>
      <c r="O74" s="82"/>
      <c r="P74" s="71"/>
      <c r="Q74" s="91"/>
      <c r="R74" s="71"/>
      <c r="S74" s="75"/>
      <c r="T74" s="91"/>
      <c r="U74" s="71"/>
      <c r="V74" s="91"/>
      <c r="W74" s="71"/>
      <c r="X74" s="72"/>
      <c r="Y74" s="71"/>
      <c r="Z74" s="72"/>
      <c r="AA74" s="27">
        <v>46058</v>
      </c>
      <c r="AB74" s="72">
        <v>40000</v>
      </c>
      <c r="AC74" s="71"/>
      <c r="AD74" s="75"/>
      <c r="AE74" s="26"/>
      <c r="AF74" s="75">
        <f t="shared" si="20"/>
        <v>40000</v>
      </c>
      <c r="AG74" s="82"/>
      <c r="AH74" s="83"/>
      <c r="AI74" s="20"/>
      <c r="AJ74" s="67"/>
      <c r="AK74" s="84"/>
      <c r="AL74" s="85"/>
    </row>
    <row r="75" s="1" customFormat="1" ht="18" customHeight="1" spans="1:38">
      <c r="A75" s="67"/>
      <c r="B75" s="67"/>
      <c r="C75" s="69"/>
      <c r="D75" s="69"/>
      <c r="E75" s="69"/>
      <c r="F75" s="69"/>
      <c r="G75" s="67"/>
      <c r="H75" s="192" t="s">
        <v>114</v>
      </c>
      <c r="I75" s="67"/>
      <c r="J75" s="20" t="s">
        <v>111</v>
      </c>
      <c r="K75" s="25"/>
      <c r="L75" s="71"/>
      <c r="M75" s="72"/>
      <c r="N75" s="71"/>
      <c r="O75" s="82"/>
      <c r="P75" s="71"/>
      <c r="Q75" s="91"/>
      <c r="R75" s="71"/>
      <c r="S75" s="75"/>
      <c r="T75" s="91"/>
      <c r="U75" s="71"/>
      <c r="V75" s="91"/>
      <c r="W75" s="71"/>
      <c r="X75" s="72"/>
      <c r="Y75" s="71"/>
      <c r="Z75" s="72"/>
      <c r="AA75" s="27">
        <v>46062</v>
      </c>
      <c r="AB75" s="72">
        <v>130815</v>
      </c>
      <c r="AC75" s="71"/>
      <c r="AD75" s="75"/>
      <c r="AE75" s="26"/>
      <c r="AF75" s="75">
        <f t="shared" si="20"/>
        <v>130815</v>
      </c>
      <c r="AG75" s="82"/>
      <c r="AH75" s="83"/>
      <c r="AI75" s="20"/>
      <c r="AJ75" s="67"/>
      <c r="AK75" s="84"/>
      <c r="AL75" s="85"/>
    </row>
    <row r="76" s="1" customFormat="1" ht="18" customHeight="1" spans="1:38">
      <c r="A76" s="67"/>
      <c r="B76" s="67"/>
      <c r="C76" s="69"/>
      <c r="D76" s="69"/>
      <c r="E76" s="69"/>
      <c r="F76" s="69"/>
      <c r="G76" s="67"/>
      <c r="H76" s="192" t="s">
        <v>115</v>
      </c>
      <c r="I76" s="67"/>
      <c r="J76" s="20" t="s">
        <v>111</v>
      </c>
      <c r="K76" s="25"/>
      <c r="L76" s="71"/>
      <c r="M76" s="72"/>
      <c r="N76" s="71"/>
      <c r="O76" s="82"/>
      <c r="P76" s="71"/>
      <c r="Q76" s="91"/>
      <c r="R76" s="71"/>
      <c r="S76" s="75"/>
      <c r="T76" s="91"/>
      <c r="U76" s="71"/>
      <c r="V76" s="91"/>
      <c r="W76" s="71"/>
      <c r="X76" s="72"/>
      <c r="Y76" s="71"/>
      <c r="Z76" s="72"/>
      <c r="AA76" s="27">
        <v>46062</v>
      </c>
      <c r="AB76" s="72">
        <v>130302</v>
      </c>
      <c r="AC76" s="71"/>
      <c r="AD76" s="75"/>
      <c r="AE76" s="26"/>
      <c r="AF76" s="75">
        <f t="shared" si="20"/>
        <v>130302</v>
      </c>
      <c r="AG76" s="82"/>
      <c r="AH76" s="83"/>
      <c r="AI76" s="20"/>
      <c r="AJ76" s="67"/>
      <c r="AK76" s="84"/>
      <c r="AL76" s="85"/>
    </row>
    <row r="77" s="1" customFormat="1" ht="18" customHeight="1" spans="1:38">
      <c r="A77" s="67"/>
      <c r="B77" s="67"/>
      <c r="C77" s="69"/>
      <c r="D77" s="69"/>
      <c r="E77" s="69"/>
      <c r="F77" s="69"/>
      <c r="G77" s="67"/>
      <c r="H77" s="192" t="s">
        <v>116</v>
      </c>
      <c r="I77" s="67"/>
      <c r="J77" s="20" t="s">
        <v>111</v>
      </c>
      <c r="K77" s="20"/>
      <c r="L77" s="20"/>
      <c r="M77" s="20"/>
      <c r="N77" s="20"/>
      <c r="O77" s="172"/>
      <c r="P77" s="20"/>
      <c r="Q77" s="20"/>
      <c r="R77" s="173"/>
      <c r="S77" s="174"/>
      <c r="T77" s="20"/>
      <c r="U77" s="20"/>
      <c r="V77" s="20"/>
      <c r="W77" s="20"/>
      <c r="X77" s="20"/>
      <c r="Y77" s="20"/>
      <c r="Z77" s="20"/>
      <c r="AA77" s="27">
        <v>46062</v>
      </c>
      <c r="AB77" s="77">
        <v>274500</v>
      </c>
      <c r="AC77" s="71"/>
      <c r="AD77" s="75"/>
      <c r="AE77" s="26"/>
      <c r="AF77" s="75">
        <f t="shared" si="20"/>
        <v>274500</v>
      </c>
      <c r="AG77" s="82"/>
      <c r="AH77" s="83"/>
      <c r="AI77" s="20"/>
      <c r="AJ77" s="67"/>
      <c r="AK77" s="84"/>
      <c r="AL77" s="85"/>
    </row>
    <row r="78" s="1" customFormat="1" ht="18" customHeight="1" spans="1:38">
      <c r="A78" s="67"/>
      <c r="B78" s="67"/>
      <c r="C78" s="69"/>
      <c r="D78" s="69"/>
      <c r="E78" s="69"/>
      <c r="F78" s="69"/>
      <c r="G78" s="67"/>
      <c r="H78" s="67"/>
      <c r="I78" s="67"/>
      <c r="J78" s="20" t="s">
        <v>111</v>
      </c>
      <c r="K78" s="25"/>
      <c r="L78" s="71"/>
      <c r="M78" s="72"/>
      <c r="N78" s="71"/>
      <c r="O78" s="82"/>
      <c r="P78" s="71"/>
      <c r="Q78" s="91"/>
      <c r="R78" s="71"/>
      <c r="S78" s="75"/>
      <c r="T78" s="91"/>
      <c r="U78" s="71"/>
      <c r="V78" s="91"/>
      <c r="W78" s="71"/>
      <c r="X78" s="72"/>
      <c r="Y78" s="71"/>
      <c r="Z78" s="72"/>
      <c r="AA78" s="27">
        <v>46063</v>
      </c>
      <c r="AB78" s="72">
        <v>750000</v>
      </c>
      <c r="AC78" s="71"/>
      <c r="AD78" s="75"/>
      <c r="AE78" s="26"/>
      <c r="AF78" s="75">
        <f t="shared" si="20"/>
        <v>750000</v>
      </c>
      <c r="AG78" s="82"/>
      <c r="AH78" s="83"/>
      <c r="AI78" s="20"/>
      <c r="AJ78" s="67"/>
      <c r="AK78" s="84"/>
      <c r="AL78" s="85"/>
    </row>
    <row r="79" s="1" customFormat="1" ht="18" customHeight="1" spans="1:38">
      <c r="A79" s="67"/>
      <c r="B79" s="67"/>
      <c r="C79" s="69"/>
      <c r="D79" s="69"/>
      <c r="E79" s="69"/>
      <c r="F79" s="69"/>
      <c r="G79" s="67"/>
      <c r="H79" s="192" t="s">
        <v>117</v>
      </c>
      <c r="I79" s="67"/>
      <c r="J79" s="20" t="s">
        <v>111</v>
      </c>
      <c r="K79" s="25"/>
      <c r="L79" s="71"/>
      <c r="M79" s="72"/>
      <c r="N79" s="71"/>
      <c r="O79" s="82"/>
      <c r="P79" s="71"/>
      <c r="Q79" s="91"/>
      <c r="R79" s="71"/>
      <c r="S79" s="75"/>
      <c r="T79" s="91"/>
      <c r="U79" s="71"/>
      <c r="V79" s="91"/>
      <c r="W79" s="71"/>
      <c r="X79" s="72"/>
      <c r="Y79" s="71"/>
      <c r="Z79" s="72"/>
      <c r="AA79" s="27">
        <v>46063</v>
      </c>
      <c r="AB79" s="77">
        <v>27186</v>
      </c>
      <c r="AC79" s="71"/>
      <c r="AD79" s="75"/>
      <c r="AE79" s="26"/>
      <c r="AF79" s="75">
        <f t="shared" si="20"/>
        <v>27186</v>
      </c>
      <c r="AG79" s="82"/>
      <c r="AH79" s="83"/>
      <c r="AI79" s="20"/>
      <c r="AJ79" s="67"/>
      <c r="AK79" s="84"/>
      <c r="AL79" s="85"/>
    </row>
    <row r="80" s="1" customFormat="1" ht="18" customHeight="1" spans="1:38">
      <c r="A80" s="67"/>
      <c r="B80" s="67"/>
      <c r="C80" s="69"/>
      <c r="D80" s="69"/>
      <c r="E80" s="69"/>
      <c r="F80" s="69"/>
      <c r="G80" s="67"/>
      <c r="H80" s="192" t="s">
        <v>118</v>
      </c>
      <c r="I80" s="67"/>
      <c r="J80" s="20" t="s">
        <v>111</v>
      </c>
      <c r="K80" s="25"/>
      <c r="L80" s="71"/>
      <c r="M80" s="72"/>
      <c r="N80" s="71"/>
      <c r="O80" s="82"/>
      <c r="P80" s="71"/>
      <c r="Q80" s="91"/>
      <c r="R80" s="71"/>
      <c r="S80" s="75"/>
      <c r="T80" s="91"/>
      <c r="U80" s="71"/>
      <c r="V80" s="91"/>
      <c r="W80" s="71"/>
      <c r="X80" s="72"/>
      <c r="Y80" s="71"/>
      <c r="Z80" s="72"/>
      <c r="AA80" s="27">
        <v>46063</v>
      </c>
      <c r="AB80" s="77">
        <v>33619</v>
      </c>
      <c r="AC80" s="71"/>
      <c r="AD80" s="75"/>
      <c r="AE80" s="26"/>
      <c r="AF80" s="75">
        <f t="shared" si="20"/>
        <v>33619</v>
      </c>
      <c r="AG80" s="82"/>
      <c r="AH80" s="83"/>
      <c r="AI80" s="20"/>
      <c r="AJ80" s="67"/>
      <c r="AK80" s="84"/>
      <c r="AL80" s="85"/>
    </row>
    <row r="81" s="1" customFormat="1" ht="18" customHeight="1" spans="1:38">
      <c r="A81" s="67"/>
      <c r="B81" s="67"/>
      <c r="C81" s="69"/>
      <c r="D81" s="69"/>
      <c r="E81" s="69"/>
      <c r="F81" s="69"/>
      <c r="G81" s="67"/>
      <c r="H81" s="192" t="s">
        <v>119</v>
      </c>
      <c r="I81" s="67"/>
      <c r="J81" s="20" t="s">
        <v>111</v>
      </c>
      <c r="K81" s="25"/>
      <c r="L81" s="71"/>
      <c r="M81" s="72"/>
      <c r="N81" s="71"/>
      <c r="O81" s="82"/>
      <c r="P81" s="71"/>
      <c r="Q81" s="91"/>
      <c r="R81" s="71"/>
      <c r="S81" s="75"/>
      <c r="T81" s="91"/>
      <c r="U81" s="71"/>
      <c r="V81" s="91"/>
      <c r="W81" s="71"/>
      <c r="X81" s="72"/>
      <c r="Y81" s="71"/>
      <c r="Z81" s="72"/>
      <c r="AA81" s="27">
        <v>46063</v>
      </c>
      <c r="AB81" s="77">
        <v>64493</v>
      </c>
      <c r="AC81" s="71"/>
      <c r="AD81" s="75"/>
      <c r="AE81" s="26"/>
      <c r="AF81" s="75">
        <f t="shared" si="20"/>
        <v>64493</v>
      </c>
      <c r="AG81" s="82"/>
      <c r="AH81" s="83"/>
      <c r="AI81" s="20"/>
      <c r="AJ81" s="67"/>
      <c r="AK81" s="84"/>
      <c r="AL81" s="85"/>
    </row>
    <row r="82" s="1" customFormat="1" ht="18" customHeight="1" spans="1:38">
      <c r="A82" s="67"/>
      <c r="B82" s="67"/>
      <c r="C82" s="69"/>
      <c r="D82" s="69"/>
      <c r="E82" s="69"/>
      <c r="F82" s="69"/>
      <c r="G82" s="67"/>
      <c r="H82" s="192" t="s">
        <v>120</v>
      </c>
      <c r="I82" s="67"/>
      <c r="J82" s="20" t="s">
        <v>111</v>
      </c>
      <c r="K82" s="25"/>
      <c r="L82" s="71"/>
      <c r="M82" s="72"/>
      <c r="N82" s="71"/>
      <c r="O82" s="82"/>
      <c r="P82" s="71"/>
      <c r="Q82" s="91"/>
      <c r="R82" s="71"/>
      <c r="S82" s="75"/>
      <c r="T82" s="91"/>
      <c r="U82" s="71"/>
      <c r="V82" s="91"/>
      <c r="W82" s="71"/>
      <c r="X82" s="72"/>
      <c r="Y82" s="71"/>
      <c r="Z82" s="72"/>
      <c r="AA82" s="27">
        <v>46063</v>
      </c>
      <c r="AB82" s="77">
        <v>25720</v>
      </c>
      <c r="AC82" s="71"/>
      <c r="AD82" s="75"/>
      <c r="AE82" s="26"/>
      <c r="AF82" s="75">
        <f t="shared" si="20"/>
        <v>25720</v>
      </c>
      <c r="AG82" s="82"/>
      <c r="AH82" s="83"/>
      <c r="AI82" s="20"/>
      <c r="AJ82" s="67"/>
      <c r="AK82" s="84"/>
      <c r="AL82" s="85"/>
    </row>
    <row r="83" s="1" customFormat="1" ht="18" customHeight="1" spans="1:38">
      <c r="A83" s="67"/>
      <c r="B83" s="67"/>
      <c r="C83" s="69"/>
      <c r="D83" s="69"/>
      <c r="E83" s="69"/>
      <c r="F83" s="69"/>
      <c r="G83" s="67"/>
      <c r="H83" s="192" t="s">
        <v>121</v>
      </c>
      <c r="I83" s="67"/>
      <c r="J83" s="20" t="s">
        <v>111</v>
      </c>
      <c r="K83" s="25"/>
      <c r="L83" s="71"/>
      <c r="M83" s="72"/>
      <c r="N83" s="71"/>
      <c r="O83" s="82"/>
      <c r="P83" s="71"/>
      <c r="Q83" s="91"/>
      <c r="R83" s="71"/>
      <c r="S83" s="75"/>
      <c r="T83" s="91"/>
      <c r="U83" s="71"/>
      <c r="V83" s="91"/>
      <c r="W83" s="71"/>
      <c r="X83" s="72"/>
      <c r="Y83" s="71"/>
      <c r="Z83" s="72"/>
      <c r="AA83" s="27">
        <v>46070</v>
      </c>
      <c r="AB83" s="77">
        <v>80000</v>
      </c>
      <c r="AC83" s="71"/>
      <c r="AD83" s="75"/>
      <c r="AE83" s="26"/>
      <c r="AF83" s="75">
        <f t="shared" si="20"/>
        <v>80000</v>
      </c>
      <c r="AG83" s="82"/>
      <c r="AH83" s="83"/>
      <c r="AI83" s="20"/>
      <c r="AJ83" s="67"/>
      <c r="AK83" s="84"/>
      <c r="AL83" s="85"/>
    </row>
    <row r="84" s="1" customFormat="1" ht="18" customHeight="1" spans="1:38">
      <c r="A84" s="67"/>
      <c r="B84" s="67"/>
      <c r="C84" s="69"/>
      <c r="D84" s="69"/>
      <c r="E84" s="69"/>
      <c r="F84" s="69"/>
      <c r="G84" s="67"/>
      <c r="H84" s="192" t="s">
        <v>122</v>
      </c>
      <c r="I84" s="67"/>
      <c r="J84" s="20" t="s">
        <v>111</v>
      </c>
      <c r="K84" s="25"/>
      <c r="L84" s="71"/>
      <c r="M84" s="72"/>
      <c r="N84" s="71"/>
      <c r="O84" s="82"/>
      <c r="P84" s="71"/>
      <c r="Q84" s="91"/>
      <c r="R84" s="71"/>
      <c r="S84" s="75"/>
      <c r="T84" s="91"/>
      <c r="U84" s="71"/>
      <c r="V84" s="91"/>
      <c r="W84" s="71"/>
      <c r="X84" s="72"/>
      <c r="Y84" s="71"/>
      <c r="Z84" s="72"/>
      <c r="AA84" s="27">
        <v>46072</v>
      </c>
      <c r="AB84" s="77">
        <v>167314</v>
      </c>
      <c r="AC84" s="71"/>
      <c r="AD84" s="75"/>
      <c r="AE84" s="26"/>
      <c r="AF84" s="75">
        <f t="shared" si="20"/>
        <v>167314</v>
      </c>
      <c r="AG84" s="82"/>
      <c r="AH84" s="83"/>
      <c r="AI84" s="20"/>
      <c r="AJ84" s="67"/>
      <c r="AK84" s="84"/>
      <c r="AL84" s="85"/>
    </row>
    <row r="85" s="1" customFormat="1" ht="18" customHeight="1" spans="1:38">
      <c r="A85" s="67"/>
      <c r="B85" s="67"/>
      <c r="C85" s="69"/>
      <c r="D85" s="69"/>
      <c r="E85" s="69"/>
      <c r="F85" s="69"/>
      <c r="G85" s="67"/>
      <c r="H85" s="67" t="s">
        <v>123</v>
      </c>
      <c r="I85" s="67"/>
      <c r="J85" s="20"/>
      <c r="K85" s="25"/>
      <c r="L85" s="71"/>
      <c r="M85" s="72"/>
      <c r="N85" s="71"/>
      <c r="O85" s="82"/>
      <c r="P85" s="71"/>
      <c r="Q85" s="91"/>
      <c r="R85" s="71"/>
      <c r="S85" s="75"/>
      <c r="T85" s="91"/>
      <c r="U85" s="71"/>
      <c r="V85" s="91"/>
      <c r="W85" s="71"/>
      <c r="X85" s="72"/>
      <c r="Y85" s="71"/>
      <c r="Z85" s="72"/>
      <c r="AA85" s="27">
        <v>46084</v>
      </c>
      <c r="AB85" s="77">
        <v>700000</v>
      </c>
      <c r="AC85" s="71"/>
      <c r="AD85" s="75"/>
      <c r="AE85" s="26"/>
      <c r="AF85" s="75">
        <f t="shared" si="20"/>
        <v>700000</v>
      </c>
      <c r="AG85" s="82"/>
      <c r="AH85" s="83"/>
      <c r="AI85" s="20"/>
      <c r="AJ85" s="67"/>
      <c r="AK85" s="84"/>
      <c r="AL85" s="85"/>
    </row>
    <row r="86" s="1" customFormat="1" ht="18" customHeight="1" spans="1:38">
      <c r="A86" s="67"/>
      <c r="C86" s="69"/>
      <c r="D86" s="69"/>
      <c r="E86" s="69"/>
      <c r="F86" s="69"/>
      <c r="G86" s="67" t="s">
        <v>79</v>
      </c>
      <c r="H86" s="192" t="s">
        <v>124</v>
      </c>
      <c r="I86" s="67"/>
      <c r="J86" s="20"/>
      <c r="K86" s="25"/>
      <c r="L86" s="71"/>
      <c r="M86" s="72"/>
      <c r="N86" s="71"/>
      <c r="O86" s="82"/>
      <c r="P86" s="71"/>
      <c r="Q86" s="91"/>
      <c r="R86" s="71"/>
      <c r="S86" s="75"/>
      <c r="T86" s="91"/>
      <c r="U86" s="71"/>
      <c r="V86" s="91"/>
      <c r="W86" s="71"/>
      <c r="X86" s="72"/>
      <c r="Y86" s="71"/>
      <c r="Z86" s="72"/>
      <c r="AA86" s="27">
        <v>46088</v>
      </c>
      <c r="AB86" s="77">
        <v>40000</v>
      </c>
      <c r="AC86" s="71"/>
      <c r="AD86" s="75"/>
      <c r="AE86" s="26"/>
      <c r="AF86" s="75">
        <f t="shared" si="20"/>
        <v>40000</v>
      </c>
      <c r="AG86" s="82"/>
      <c r="AH86" s="83"/>
      <c r="AI86" s="20"/>
      <c r="AJ86" s="67"/>
      <c r="AK86" s="84"/>
      <c r="AL86" s="85"/>
    </row>
    <row r="87" s="1" customFormat="1" ht="18" customHeight="1" spans="1:38">
      <c r="A87" s="67"/>
      <c r="B87" s="67"/>
      <c r="C87" s="69"/>
      <c r="D87" s="69"/>
      <c r="E87" s="69"/>
      <c r="F87" s="69"/>
      <c r="G87" s="67"/>
      <c r="H87" s="192" t="s">
        <v>125</v>
      </c>
      <c r="I87" s="67"/>
      <c r="J87" s="20"/>
      <c r="K87" s="25"/>
      <c r="L87" s="71"/>
      <c r="M87" s="72"/>
      <c r="N87" s="71"/>
      <c r="O87" s="82"/>
      <c r="P87" s="71"/>
      <c r="Q87" s="91"/>
      <c r="R87" s="71"/>
      <c r="S87" s="75"/>
      <c r="T87" s="91"/>
      <c r="U87" s="71"/>
      <c r="V87" s="91"/>
      <c r="W87" s="71"/>
      <c r="X87" s="72"/>
      <c r="Y87" s="71"/>
      <c r="Z87" s="72"/>
      <c r="AA87" s="27">
        <v>46089</v>
      </c>
      <c r="AB87" s="72">
        <v>5126</v>
      </c>
      <c r="AC87" s="71"/>
      <c r="AD87" s="75"/>
      <c r="AE87" s="26"/>
      <c r="AF87" s="75">
        <f t="shared" si="20"/>
        <v>5126</v>
      </c>
      <c r="AG87" s="82"/>
      <c r="AH87" s="83"/>
      <c r="AI87" s="20"/>
      <c r="AJ87" s="67"/>
      <c r="AK87" s="84"/>
      <c r="AL87" s="85"/>
    </row>
    <row r="88" s="1" customFormat="1" ht="18" customHeight="1" spans="1:38">
      <c r="A88" s="67"/>
      <c r="B88" s="67"/>
      <c r="C88" s="69"/>
      <c r="D88" s="69"/>
      <c r="E88" s="69"/>
      <c r="F88" s="69"/>
      <c r="G88" s="67"/>
      <c r="H88" s="192" t="s">
        <v>126</v>
      </c>
      <c r="I88" s="67"/>
      <c r="J88" s="20"/>
      <c r="K88" s="25"/>
      <c r="L88" s="71"/>
      <c r="M88" s="72"/>
      <c r="N88" s="71"/>
      <c r="O88" s="82"/>
      <c r="P88" s="71"/>
      <c r="Q88" s="91"/>
      <c r="R88" s="71"/>
      <c r="S88" s="75"/>
      <c r="T88" s="91"/>
      <c r="U88" s="71"/>
      <c r="V88" s="91"/>
      <c r="W88" s="71"/>
      <c r="X88" s="72"/>
      <c r="Y88" s="71"/>
      <c r="Z88" s="72"/>
      <c r="AA88" s="27">
        <v>46089</v>
      </c>
      <c r="AB88" s="77">
        <v>46134</v>
      </c>
      <c r="AC88" s="71"/>
      <c r="AD88" s="75"/>
      <c r="AE88" s="26"/>
      <c r="AF88" s="75">
        <f t="shared" si="20"/>
        <v>46134</v>
      </c>
      <c r="AG88" s="82"/>
      <c r="AH88" s="83"/>
      <c r="AI88" s="20"/>
      <c r="AJ88" s="67"/>
      <c r="AK88" s="84"/>
      <c r="AL88" s="85"/>
    </row>
    <row r="89" s="1" customFormat="1" ht="18" customHeight="1" spans="1:38">
      <c r="A89" s="67"/>
      <c r="B89" s="67"/>
      <c r="C89" s="69"/>
      <c r="D89" s="69"/>
      <c r="E89" s="69"/>
      <c r="F89" s="69"/>
      <c r="G89" s="67"/>
      <c r="H89" s="67" t="s">
        <v>127</v>
      </c>
      <c r="I89" s="67"/>
      <c r="J89" s="20"/>
      <c r="K89" s="25"/>
      <c r="L89" s="71"/>
      <c r="M89" s="72"/>
      <c r="N89" s="71"/>
      <c r="O89" s="82"/>
      <c r="P89" s="71"/>
      <c r="Q89" s="91"/>
      <c r="R89" s="71"/>
      <c r="S89" s="75"/>
      <c r="T89" s="91"/>
      <c r="U89" s="71"/>
      <c r="V89" s="91"/>
      <c r="W89" s="71"/>
      <c r="X89" s="72"/>
      <c r="Y89" s="71"/>
      <c r="Z89" s="72"/>
      <c r="AA89" s="27">
        <v>46094</v>
      </c>
      <c r="AB89" s="77">
        <v>700000</v>
      </c>
      <c r="AC89" s="71"/>
      <c r="AD89" s="75"/>
      <c r="AE89" s="26"/>
      <c r="AF89" s="75">
        <f t="shared" si="20"/>
        <v>700000</v>
      </c>
      <c r="AG89" s="82"/>
      <c r="AH89" s="83"/>
      <c r="AI89" s="20"/>
      <c r="AJ89" s="67"/>
      <c r="AK89" s="84"/>
      <c r="AL89" s="85"/>
    </row>
    <row r="90" s="1" customFormat="1" ht="18" customHeight="1" spans="1:38">
      <c r="A90" s="67"/>
      <c r="B90" s="67"/>
      <c r="C90" s="69"/>
      <c r="D90" s="69"/>
      <c r="E90" s="69"/>
      <c r="F90" s="69"/>
      <c r="G90" s="67"/>
      <c r="H90" s="192" t="s">
        <v>128</v>
      </c>
      <c r="I90" s="67"/>
      <c r="J90" s="20" t="s">
        <v>129</v>
      </c>
      <c r="K90" s="25"/>
      <c r="L90" s="71"/>
      <c r="M90" s="72"/>
      <c r="N90" s="71"/>
      <c r="O90" s="82"/>
      <c r="P90" s="71"/>
      <c r="Q90" s="91"/>
      <c r="R90" s="71"/>
      <c r="S90" s="75"/>
      <c r="T90" s="91"/>
      <c r="U90" s="71"/>
      <c r="V90" s="91"/>
      <c r="W90" s="71"/>
      <c r="X90" s="72"/>
      <c r="Y90" s="71"/>
      <c r="Z90" s="72"/>
      <c r="AA90" s="27">
        <v>46112</v>
      </c>
      <c r="AB90" s="77">
        <v>25900</v>
      </c>
      <c r="AC90" s="71"/>
      <c r="AD90" s="75"/>
      <c r="AE90" s="26"/>
      <c r="AF90" s="75">
        <f t="shared" si="20"/>
        <v>25900</v>
      </c>
      <c r="AG90" s="82"/>
      <c r="AH90" s="83"/>
      <c r="AI90" s="20"/>
      <c r="AJ90" s="67"/>
      <c r="AK90" s="84"/>
      <c r="AL90" s="85"/>
    </row>
    <row r="91" s="1" customFormat="1" ht="18" customHeight="1" spans="1:38">
      <c r="A91" s="67"/>
      <c r="B91" s="67"/>
      <c r="C91" s="69"/>
      <c r="D91" s="69"/>
      <c r="E91" s="69"/>
      <c r="F91" s="69"/>
      <c r="G91" s="67" t="s">
        <v>166</v>
      </c>
      <c r="H91" s="192" t="s">
        <v>235</v>
      </c>
      <c r="I91" s="67"/>
      <c r="J91" s="20" t="s">
        <v>129</v>
      </c>
      <c r="K91" s="25"/>
      <c r="L91" s="71"/>
      <c r="M91" s="72"/>
      <c r="N91" s="71"/>
      <c r="O91" s="82"/>
      <c r="P91" s="71"/>
      <c r="Q91" s="91"/>
      <c r="R91" s="71"/>
      <c r="S91" s="75"/>
      <c r="T91" s="91"/>
      <c r="U91" s="71"/>
      <c r="V91" s="91"/>
      <c r="W91" s="71"/>
      <c r="X91" s="72"/>
      <c r="Y91" s="71"/>
      <c r="Z91" s="72"/>
      <c r="AA91" s="27">
        <v>46135</v>
      </c>
      <c r="AB91" s="72">
        <v>141264</v>
      </c>
      <c r="AC91" s="71"/>
      <c r="AD91" s="75"/>
      <c r="AE91" s="26"/>
      <c r="AF91" s="75">
        <f t="shared" si="20"/>
        <v>141264</v>
      </c>
      <c r="AG91" s="82"/>
      <c r="AH91" s="83"/>
      <c r="AI91" s="20"/>
      <c r="AJ91" s="67"/>
      <c r="AK91" s="84"/>
      <c r="AL91" s="85"/>
    </row>
    <row r="92" s="1" customFormat="1" ht="18" customHeight="1" spans="1:38">
      <c r="A92" s="67"/>
      <c r="B92" s="67"/>
      <c r="C92" s="69"/>
      <c r="D92" s="69"/>
      <c r="E92" s="69"/>
      <c r="F92" s="69"/>
      <c r="G92" s="67" t="s">
        <v>93</v>
      </c>
      <c r="H92" s="192" t="s">
        <v>236</v>
      </c>
      <c r="I92" s="67"/>
      <c r="J92" s="20"/>
      <c r="K92" s="25"/>
      <c r="L92" s="71"/>
      <c r="M92" s="72"/>
      <c r="N92" s="71"/>
      <c r="O92" s="82"/>
      <c r="P92" s="71"/>
      <c r="Q92" s="91"/>
      <c r="R92" s="71"/>
      <c r="S92" s="75"/>
      <c r="T92" s="91"/>
      <c r="U92" s="71"/>
      <c r="V92" s="91"/>
      <c r="W92" s="71"/>
      <c r="X92" s="72"/>
      <c r="Y92" s="71"/>
      <c r="Z92" s="72"/>
      <c r="AA92" s="27">
        <v>46153</v>
      </c>
      <c r="AB92" s="72">
        <v>26120</v>
      </c>
      <c r="AC92" s="71"/>
      <c r="AD92" s="75"/>
      <c r="AE92" s="26"/>
      <c r="AF92" s="75">
        <f t="shared" si="20"/>
        <v>26120</v>
      </c>
      <c r="AG92" s="82"/>
      <c r="AH92" s="83"/>
      <c r="AI92" s="20"/>
      <c r="AJ92" s="67"/>
      <c r="AK92" s="84"/>
      <c r="AL92" s="85"/>
    </row>
    <row r="93" s="1" customFormat="1" ht="18" customHeight="1" spans="1:38">
      <c r="A93" s="67"/>
      <c r="B93" s="67"/>
      <c r="C93" s="69"/>
      <c r="D93" s="69"/>
      <c r="E93" s="69"/>
      <c r="F93" s="69"/>
      <c r="G93" s="67" t="s">
        <v>93</v>
      </c>
      <c r="H93" s="67" t="s">
        <v>237</v>
      </c>
      <c r="I93" s="67"/>
      <c r="J93" s="20"/>
      <c r="K93" s="25"/>
      <c r="L93" s="71"/>
      <c r="M93" s="72"/>
      <c r="N93" s="71"/>
      <c r="O93" s="82"/>
      <c r="P93" s="71"/>
      <c r="Q93" s="91"/>
      <c r="R93" s="71"/>
      <c r="S93" s="75"/>
      <c r="T93" s="91"/>
      <c r="U93" s="71"/>
      <c r="V93" s="91"/>
      <c r="W93" s="71"/>
      <c r="X93" s="72"/>
      <c r="Y93" s="71"/>
      <c r="Z93" s="72"/>
      <c r="AA93" s="27">
        <v>46156</v>
      </c>
      <c r="AB93" s="72">
        <v>546000</v>
      </c>
      <c r="AC93" s="71"/>
      <c r="AD93" s="75"/>
      <c r="AE93" s="26"/>
      <c r="AF93" s="75">
        <f t="shared" si="20"/>
        <v>546000</v>
      </c>
      <c r="AG93" s="82"/>
      <c r="AH93" s="83"/>
      <c r="AI93" s="20"/>
      <c r="AJ93" s="67"/>
      <c r="AK93" s="84"/>
      <c r="AL93" s="85"/>
    </row>
    <row r="94" s="1" customFormat="1" ht="18" customHeight="1" spans="1:38">
      <c r="A94" s="67"/>
      <c r="B94" s="67"/>
      <c r="C94" s="69"/>
      <c r="D94" s="69"/>
      <c r="E94" s="69"/>
      <c r="F94" s="69"/>
      <c r="G94" s="67"/>
      <c r="H94" s="67"/>
      <c r="I94" s="67"/>
      <c r="J94" s="20"/>
      <c r="K94" s="25"/>
      <c r="L94" s="71"/>
      <c r="M94" s="72"/>
      <c r="N94" s="71"/>
      <c r="O94" s="82"/>
      <c r="P94" s="71"/>
      <c r="Q94" s="91"/>
      <c r="R94" s="71"/>
      <c r="S94" s="75"/>
      <c r="T94" s="91"/>
      <c r="U94" s="71"/>
      <c r="V94" s="91"/>
      <c r="W94" s="71"/>
      <c r="X94" s="72"/>
      <c r="Y94" s="71"/>
      <c r="Z94" s="72"/>
      <c r="AA94" s="27"/>
      <c r="AB94" s="72"/>
      <c r="AC94" s="71"/>
      <c r="AD94" s="75">
        <f>SUBTOTAL(9,AD42:AD93)</f>
        <v>95148904</v>
      </c>
      <c r="AE94" s="26"/>
      <c r="AF94" s="75"/>
      <c r="AG94" s="82"/>
      <c r="AH94" s="83"/>
      <c r="AI94" s="20"/>
      <c r="AJ94" s="67"/>
      <c r="AK94" s="84"/>
      <c r="AL94" s="85"/>
    </row>
    <row r="95" s="1" customFormat="1" ht="18" customHeight="1" spans="1:38">
      <c r="A95" s="67"/>
      <c r="B95" s="67"/>
      <c r="C95" s="69"/>
      <c r="D95" s="69"/>
      <c r="E95" s="69"/>
      <c r="F95" s="69"/>
      <c r="G95" s="67"/>
      <c r="H95" s="163" t="s">
        <v>94</v>
      </c>
      <c r="I95" s="67"/>
      <c r="J95" s="20"/>
      <c r="K95" s="25"/>
      <c r="L95" s="71"/>
      <c r="M95" s="146"/>
      <c r="N95" s="71"/>
      <c r="O95" s="82"/>
      <c r="P95" s="71"/>
      <c r="Q95" s="91"/>
      <c r="R95" s="71"/>
      <c r="S95" s="75" t="s">
        <v>238</v>
      </c>
      <c r="T95" s="175">
        <v>200</v>
      </c>
      <c r="U95" s="75" t="s">
        <v>238</v>
      </c>
      <c r="V95" s="91" t="s">
        <v>239</v>
      </c>
      <c r="W95" s="75"/>
      <c r="X95" s="72"/>
      <c r="Y95" s="71"/>
      <c r="Z95" s="72"/>
      <c r="AA95" s="27"/>
      <c r="AB95" s="72"/>
      <c r="AC95" s="71"/>
      <c r="AD95" s="75"/>
      <c r="AE95" s="27"/>
      <c r="AF95" s="75">
        <f>SUM(O95*AL95,Q95,S95,T95*AL95,V95,X95,Z95,AB95,AD95,M95)</f>
        <v>530000</v>
      </c>
      <c r="AG95" s="82"/>
      <c r="AH95" s="83">
        <f>AF95/AI95</f>
        <v>1418.66752322064</v>
      </c>
      <c r="AI95" s="20">
        <v>373.59</v>
      </c>
      <c r="AJ95" s="67"/>
      <c r="AK95" s="84" t="s">
        <v>40</v>
      </c>
      <c r="AL95" s="85">
        <v>2650</v>
      </c>
    </row>
    <row r="96" s="1" customFormat="1" ht="18" customHeight="1" spans="1:38">
      <c r="A96" s="67"/>
      <c r="B96" s="67"/>
      <c r="C96" s="69"/>
      <c r="D96" s="69"/>
      <c r="E96" s="69"/>
      <c r="F96" s="69"/>
      <c r="G96" s="67"/>
      <c r="H96" s="163" t="s">
        <v>95</v>
      </c>
      <c r="I96" s="67"/>
      <c r="J96" s="20"/>
      <c r="K96" s="25"/>
      <c r="L96" s="71"/>
      <c r="M96" s="146"/>
      <c r="N96" s="71"/>
      <c r="O96" s="82"/>
      <c r="P96" s="71"/>
      <c r="Q96" s="91"/>
      <c r="R96" s="71"/>
      <c r="S96" s="75" t="s">
        <v>238</v>
      </c>
      <c r="T96" s="175">
        <f>60+15</f>
        <v>75</v>
      </c>
      <c r="U96" s="75" t="s">
        <v>238</v>
      </c>
      <c r="V96" s="91" t="s">
        <v>239</v>
      </c>
      <c r="W96" s="75"/>
      <c r="X96" s="72"/>
      <c r="Y96" s="71"/>
      <c r="Z96" s="72"/>
      <c r="AA96" s="27"/>
      <c r="AB96" s="72"/>
      <c r="AC96" s="71"/>
      <c r="AD96" s="75"/>
      <c r="AE96" s="27"/>
      <c r="AF96" s="75">
        <f>SUM(O96*AL96,Q96,S96,T96*AL96,V96,X96,Z96,AB96,AD96,M96)</f>
        <v>198750</v>
      </c>
      <c r="AG96" s="82"/>
      <c r="AH96" s="83">
        <f>AF96/AI96</f>
        <v>532.000321207741</v>
      </c>
      <c r="AI96" s="20">
        <v>373.59</v>
      </c>
      <c r="AJ96" s="67"/>
      <c r="AK96" s="84" t="s">
        <v>40</v>
      </c>
      <c r="AL96" s="85">
        <v>2650</v>
      </c>
    </row>
    <row r="97" s="1" customFormat="1" ht="18" customHeight="1" spans="1:38">
      <c r="A97" s="67"/>
      <c r="B97" s="67"/>
      <c r="C97" s="69"/>
      <c r="D97" s="69"/>
      <c r="E97" s="69"/>
      <c r="F97" s="69"/>
      <c r="G97" s="67"/>
      <c r="H97" s="163" t="s">
        <v>240</v>
      </c>
      <c r="I97" s="67"/>
      <c r="J97" s="20"/>
      <c r="K97" s="25"/>
      <c r="L97" s="71"/>
      <c r="M97" s="146"/>
      <c r="N97" s="71"/>
      <c r="O97" s="82"/>
      <c r="P97" s="71"/>
      <c r="Q97" s="91"/>
      <c r="R97" s="71"/>
      <c r="S97" s="75" t="s">
        <v>238</v>
      </c>
      <c r="T97" s="175">
        <v>40</v>
      </c>
      <c r="U97" s="75" t="s">
        <v>238</v>
      </c>
      <c r="V97" s="91" t="s">
        <v>239</v>
      </c>
      <c r="W97" s="75"/>
      <c r="X97" s="72"/>
      <c r="Y97" s="71"/>
      <c r="Z97" s="72"/>
      <c r="AA97" s="27"/>
      <c r="AB97" s="72"/>
      <c r="AC97" s="71"/>
      <c r="AD97" s="75"/>
      <c r="AE97" s="27"/>
      <c r="AF97" s="75">
        <f>SUM(O97*AL97,Q97,S97,T97*AL97,V97,X97,Z97,AB97,AD97,M97)</f>
        <v>106000</v>
      </c>
      <c r="AG97" s="82"/>
      <c r="AH97" s="83">
        <f>AF97/AI97</f>
        <v>283.733504644129</v>
      </c>
      <c r="AI97" s="20">
        <v>373.59</v>
      </c>
      <c r="AJ97" s="67"/>
      <c r="AK97" s="84" t="s">
        <v>40</v>
      </c>
      <c r="AL97" s="85">
        <v>2650</v>
      </c>
    </row>
    <row r="98" s="1" customFormat="1" ht="18" customHeight="1" spans="1:38">
      <c r="A98" s="67"/>
      <c r="B98" s="67"/>
      <c r="C98" s="69"/>
      <c r="D98" s="69"/>
      <c r="E98" s="69"/>
      <c r="F98" s="69"/>
      <c r="G98" s="67"/>
      <c r="H98" s="163" t="s">
        <v>97</v>
      </c>
      <c r="I98" s="67"/>
      <c r="J98" s="20"/>
      <c r="K98" s="25"/>
      <c r="L98" s="71"/>
      <c r="M98" s="146"/>
      <c r="N98" s="71"/>
      <c r="O98" s="82"/>
      <c r="P98" s="71"/>
      <c r="Q98" s="91"/>
      <c r="R98" s="71"/>
      <c r="S98" s="75" t="s">
        <v>238</v>
      </c>
      <c r="T98" s="175">
        <v>20</v>
      </c>
      <c r="U98" s="75" t="s">
        <v>238</v>
      </c>
      <c r="V98" s="91" t="s">
        <v>239</v>
      </c>
      <c r="W98" s="75"/>
      <c r="X98" s="72"/>
      <c r="Y98" s="71"/>
      <c r="Z98" s="72"/>
      <c r="AA98" s="27"/>
      <c r="AB98" s="72"/>
      <c r="AC98" s="71"/>
      <c r="AD98" s="75"/>
      <c r="AE98" s="27"/>
      <c r="AF98" s="75">
        <f>SUM(O98*AL98,Q98,S98,T98*AL98,V98,X98,Z98,AB98,AD98,M98)</f>
        <v>53000</v>
      </c>
      <c r="AG98" s="82"/>
      <c r="AH98" s="83">
        <f>AF98/AI98</f>
        <v>141.866752322064</v>
      </c>
      <c r="AI98" s="20">
        <v>373.59</v>
      </c>
      <c r="AJ98" s="67"/>
      <c r="AK98" s="84" t="s">
        <v>40</v>
      </c>
      <c r="AL98" s="85">
        <v>2650</v>
      </c>
    </row>
    <row r="99" s="1" customFormat="1" ht="18" customHeight="1" spans="1:38">
      <c r="A99" s="67"/>
      <c r="B99" s="67"/>
      <c r="C99" s="69"/>
      <c r="D99" s="69"/>
      <c r="E99" s="69"/>
      <c r="F99" s="69"/>
      <c r="G99" s="67"/>
      <c r="H99" s="163" t="s">
        <v>98</v>
      </c>
      <c r="I99" s="67"/>
      <c r="J99" s="20"/>
      <c r="K99" s="25"/>
      <c r="L99" s="71"/>
      <c r="M99" s="146"/>
      <c r="N99" s="71"/>
      <c r="O99" s="82"/>
      <c r="P99" s="71"/>
      <c r="Q99" s="91"/>
      <c r="R99" s="71"/>
      <c r="S99" s="75" t="s">
        <v>238</v>
      </c>
      <c r="T99" s="175">
        <v>60</v>
      </c>
      <c r="U99" s="75" t="s">
        <v>238</v>
      </c>
      <c r="V99" s="91" t="s">
        <v>239</v>
      </c>
      <c r="W99" s="75"/>
      <c r="X99" s="72"/>
      <c r="Y99" s="71"/>
      <c r="Z99" s="72"/>
      <c r="AA99" s="27"/>
      <c r="AB99" s="72"/>
      <c r="AC99" s="71"/>
      <c r="AD99" s="75"/>
      <c r="AE99" s="27"/>
      <c r="AF99" s="75">
        <f>SUM(O99*AL99,Q99,S99,T99*AL99,V99,X99,Z99,AB99,AD99,M99)</f>
        <v>159000</v>
      </c>
      <c r="AG99" s="82"/>
      <c r="AH99" s="83">
        <f>AF99/AI99</f>
        <v>425.600256966193</v>
      </c>
      <c r="AI99" s="20">
        <v>373.59</v>
      </c>
      <c r="AJ99" s="67"/>
      <c r="AK99" s="84" t="s">
        <v>40</v>
      </c>
      <c r="AL99" s="85">
        <v>2650</v>
      </c>
    </row>
    <row r="100" s="1" customFormat="1" ht="18" customHeight="1" spans="1:38">
      <c r="A100" s="67"/>
      <c r="B100" s="67"/>
      <c r="C100" s="69"/>
      <c r="D100" s="69"/>
      <c r="E100" s="69"/>
      <c r="F100" s="69"/>
      <c r="G100" s="67"/>
      <c r="H100" s="67"/>
      <c r="I100" s="67"/>
      <c r="J100" s="20"/>
      <c r="K100" s="25"/>
      <c r="L100" s="71"/>
      <c r="M100" s="72"/>
      <c r="N100" s="71"/>
      <c r="O100" s="82"/>
      <c r="P100" s="71"/>
      <c r="Q100" s="91"/>
      <c r="R100" s="71"/>
      <c r="S100" s="75"/>
      <c r="T100" s="91"/>
      <c r="U100" s="71"/>
      <c r="V100" s="91"/>
      <c r="W100" s="71"/>
      <c r="X100" s="72"/>
      <c r="Y100" s="71"/>
      <c r="Z100" s="72"/>
      <c r="AA100" s="27"/>
      <c r="AB100" s="72"/>
      <c r="AC100" s="71"/>
      <c r="AD100" s="75"/>
      <c r="AE100" s="26"/>
      <c r="AF100" s="75" t="e">
        <f>AC100*#REF!</f>
        <v>#REF!</v>
      </c>
      <c r="AG100" s="82"/>
      <c r="AH100" s="83"/>
      <c r="AI100" s="20"/>
      <c r="AJ100" s="67"/>
      <c r="AK100" s="84"/>
      <c r="AL100" s="85"/>
    </row>
    <row r="101" s="1" customFormat="1" ht="18" customHeight="1" spans="1:38">
      <c r="A101" s="67"/>
      <c r="B101" s="67"/>
      <c r="C101" s="69"/>
      <c r="D101" s="69"/>
      <c r="E101" s="69"/>
      <c r="F101" s="69"/>
      <c r="G101" s="67"/>
      <c r="H101" s="67"/>
      <c r="I101" s="67"/>
      <c r="J101" s="20"/>
      <c r="K101" s="25"/>
      <c r="L101" s="71"/>
      <c r="M101" s="72"/>
      <c r="N101" s="71"/>
      <c r="O101" s="82"/>
      <c r="P101" s="71"/>
      <c r="Q101" s="91"/>
      <c r="R101" s="71"/>
      <c r="S101" s="75"/>
      <c r="T101" s="91"/>
      <c r="U101" s="71"/>
      <c r="V101" s="91"/>
      <c r="W101" s="71"/>
      <c r="X101" s="72"/>
      <c r="Y101" s="71"/>
      <c r="Z101" s="72"/>
      <c r="AA101" s="27"/>
      <c r="AB101" s="72"/>
      <c r="AC101" s="71"/>
      <c r="AD101" s="75"/>
      <c r="AE101" s="26"/>
      <c r="AF101" s="75" t="e">
        <f>AC101*#REF!</f>
        <v>#REF!</v>
      </c>
      <c r="AG101" s="82"/>
      <c r="AH101" s="83"/>
      <c r="AI101" s="20"/>
      <c r="AJ101" s="67"/>
      <c r="AK101" s="84"/>
      <c r="AL101" s="85"/>
    </row>
    <row r="102" s="1" customFormat="1" ht="18" customHeight="1" spans="1:38">
      <c r="A102" s="67"/>
      <c r="B102" s="67"/>
      <c r="C102" s="69"/>
      <c r="D102" s="69"/>
      <c r="E102" s="69"/>
      <c r="F102" s="69"/>
      <c r="G102" s="67"/>
      <c r="H102" s="67"/>
      <c r="I102" s="67"/>
      <c r="J102" s="20"/>
      <c r="K102" s="25"/>
      <c r="L102" s="71"/>
      <c r="M102" s="72"/>
      <c r="N102" s="71"/>
      <c r="O102" s="82"/>
      <c r="P102" s="71"/>
      <c r="Q102" s="91"/>
      <c r="R102" s="71"/>
      <c r="S102" s="75"/>
      <c r="T102" s="91"/>
      <c r="U102" s="71"/>
      <c r="V102" s="91"/>
      <c r="W102" s="71"/>
      <c r="X102" s="72"/>
      <c r="Y102" s="71"/>
      <c r="Z102" s="72"/>
      <c r="AA102" s="27"/>
      <c r="AB102" s="72"/>
      <c r="AC102" s="71"/>
      <c r="AD102" s="75"/>
      <c r="AE102" s="26"/>
      <c r="AF102" s="75" t="e">
        <f>AC102*#REF!</f>
        <v>#REF!</v>
      </c>
      <c r="AG102" s="82"/>
      <c r="AH102" s="83"/>
      <c r="AI102" s="20"/>
      <c r="AJ102" s="67"/>
      <c r="AK102" s="84"/>
      <c r="AL102" s="85"/>
    </row>
    <row r="103" s="1" customFormat="1" ht="18" customHeight="1" spans="1:38">
      <c r="A103" s="67"/>
      <c r="B103" s="67"/>
      <c r="C103" s="69"/>
      <c r="D103" s="69"/>
      <c r="E103" s="69"/>
      <c r="F103" s="69"/>
      <c r="G103" s="67"/>
      <c r="H103" s="67"/>
      <c r="I103" s="67"/>
      <c r="J103" s="20"/>
      <c r="K103" s="25"/>
      <c r="L103" s="71"/>
      <c r="M103" s="72"/>
      <c r="N103" s="71"/>
      <c r="O103" s="82"/>
      <c r="P103" s="71"/>
      <c r="Q103" s="91"/>
      <c r="R103" s="71"/>
      <c r="S103" s="75"/>
      <c r="T103" s="91"/>
      <c r="U103" s="71"/>
      <c r="V103" s="91"/>
      <c r="W103" s="71"/>
      <c r="X103" s="72"/>
      <c r="Y103" s="71"/>
      <c r="Z103" s="72"/>
      <c r="AA103" s="27"/>
      <c r="AB103" s="72"/>
      <c r="AC103" s="71"/>
      <c r="AD103" s="75"/>
      <c r="AE103" s="26"/>
      <c r="AF103" s="75" t="e">
        <f>AC103*#REF!</f>
        <v>#REF!</v>
      </c>
      <c r="AG103" s="82"/>
      <c r="AH103" s="83"/>
      <c r="AI103" s="20"/>
      <c r="AJ103" s="67"/>
      <c r="AK103" s="84"/>
      <c r="AL103" s="85"/>
    </row>
    <row r="104" s="1" customFormat="1" ht="18" customHeight="1" spans="1:38">
      <c r="A104" s="67"/>
      <c r="B104" s="67"/>
      <c r="C104" s="69"/>
      <c r="D104" s="69"/>
      <c r="E104" s="69"/>
      <c r="F104" s="69"/>
      <c r="G104" s="67"/>
      <c r="H104" s="67"/>
      <c r="I104" s="67"/>
      <c r="J104" s="20"/>
      <c r="K104" s="25"/>
      <c r="L104" s="71"/>
      <c r="M104" s="72"/>
      <c r="N104" s="71"/>
      <c r="O104" s="82"/>
      <c r="P104" s="71"/>
      <c r="Q104" s="91"/>
      <c r="R104" s="71"/>
      <c r="S104" s="75"/>
      <c r="T104" s="91"/>
      <c r="U104" s="71"/>
      <c r="V104" s="91"/>
      <c r="W104" s="71"/>
      <c r="X104" s="72"/>
      <c r="Y104" s="71"/>
      <c r="Z104" s="72"/>
      <c r="AA104" s="27"/>
      <c r="AB104" s="72"/>
      <c r="AC104" s="71"/>
      <c r="AD104" s="75"/>
      <c r="AE104" s="26"/>
      <c r="AF104" s="75" t="e">
        <f>AC104*#REF!</f>
        <v>#REF!</v>
      </c>
      <c r="AG104" s="82"/>
      <c r="AH104" s="83"/>
      <c r="AI104" s="20"/>
      <c r="AJ104" s="67"/>
      <c r="AK104" s="84"/>
      <c r="AL104" s="85"/>
    </row>
    <row r="105" s="1" customFormat="1" ht="18" customHeight="1" spans="1:38">
      <c r="A105" s="67"/>
      <c r="B105" s="67"/>
      <c r="C105" s="69"/>
      <c r="D105" s="69"/>
      <c r="E105" s="69"/>
      <c r="F105" s="69"/>
      <c r="G105" s="67"/>
      <c r="H105" s="67"/>
      <c r="I105" s="67"/>
      <c r="J105" s="20"/>
      <c r="K105" s="25"/>
      <c r="L105" s="71"/>
      <c r="M105" s="72"/>
      <c r="N105" s="71"/>
      <c r="O105" s="82"/>
      <c r="P105" s="71"/>
      <c r="Q105" s="91"/>
      <c r="R105" s="71"/>
      <c r="S105" s="75"/>
      <c r="T105" s="91"/>
      <c r="U105" s="71"/>
      <c r="V105" s="91"/>
      <c r="W105" s="71"/>
      <c r="X105" s="72"/>
      <c r="Y105" s="71"/>
      <c r="Z105" s="72"/>
      <c r="AA105" s="27"/>
      <c r="AB105" s="72"/>
      <c r="AC105" s="71"/>
      <c r="AD105" s="75"/>
      <c r="AE105" s="26"/>
      <c r="AF105" s="75" t="e">
        <f>AC105*#REF!</f>
        <v>#REF!</v>
      </c>
      <c r="AG105" s="82"/>
      <c r="AH105" s="83"/>
      <c r="AI105" s="20"/>
      <c r="AJ105" s="67"/>
      <c r="AK105" s="84"/>
      <c r="AL105" s="85"/>
    </row>
    <row r="106" s="1" customFormat="1" ht="18" customHeight="1" spans="1:38">
      <c r="A106" s="67"/>
      <c r="B106" s="67"/>
      <c r="C106" s="69"/>
      <c r="D106" s="69"/>
      <c r="E106" s="69"/>
      <c r="F106" s="69"/>
      <c r="G106" s="67"/>
      <c r="H106" s="67"/>
      <c r="I106" s="67"/>
      <c r="J106" s="20"/>
      <c r="K106" s="25"/>
      <c r="L106" s="71"/>
      <c r="M106" s="72"/>
      <c r="N106" s="71"/>
      <c r="O106" s="82"/>
      <c r="P106" s="71"/>
      <c r="Q106" s="91"/>
      <c r="R106" s="71"/>
      <c r="S106" s="75"/>
      <c r="T106" s="91"/>
      <c r="U106" s="71"/>
      <c r="V106" s="91"/>
      <c r="W106" s="71"/>
      <c r="X106" s="72"/>
      <c r="Y106" s="71"/>
      <c r="Z106" s="72"/>
      <c r="AA106" s="27"/>
      <c r="AB106" s="72"/>
      <c r="AC106" s="71"/>
      <c r="AD106" s="75"/>
      <c r="AE106" s="26"/>
      <c r="AF106" s="75" t="e">
        <f>AC106*#REF!</f>
        <v>#REF!</v>
      </c>
      <c r="AG106" s="82"/>
      <c r="AH106" s="83"/>
      <c r="AI106" s="20"/>
      <c r="AJ106" s="67"/>
      <c r="AK106" s="84"/>
      <c r="AL106" s="85"/>
    </row>
    <row r="107" s="1" customFormat="1" ht="18" customHeight="1" spans="1:38">
      <c r="A107" s="67"/>
      <c r="B107" s="67"/>
      <c r="C107" s="69"/>
      <c r="D107" s="69"/>
      <c r="E107" s="69"/>
      <c r="F107" s="69"/>
      <c r="G107" s="67"/>
      <c r="H107" s="67"/>
      <c r="I107" s="67"/>
      <c r="J107" s="20"/>
      <c r="K107" s="25"/>
      <c r="L107" s="71"/>
      <c r="M107" s="72"/>
      <c r="N107" s="71"/>
      <c r="O107" s="82"/>
      <c r="P107" s="71"/>
      <c r="Q107" s="91"/>
      <c r="R107" s="71"/>
      <c r="S107" s="75"/>
      <c r="T107" s="91"/>
      <c r="U107" s="71"/>
      <c r="V107" s="91"/>
      <c r="W107" s="71"/>
      <c r="X107" s="72"/>
      <c r="Y107" s="71"/>
      <c r="Z107" s="72"/>
      <c r="AA107" s="27"/>
      <c r="AB107" s="72"/>
      <c r="AC107" s="71"/>
      <c r="AD107" s="75"/>
      <c r="AE107" s="26"/>
      <c r="AF107" s="75" t="e">
        <f>AC107*#REF!</f>
        <v>#REF!</v>
      </c>
      <c r="AG107" s="82"/>
      <c r="AH107" s="83"/>
      <c r="AI107" s="20"/>
      <c r="AJ107" s="67"/>
      <c r="AK107" s="84"/>
      <c r="AL107" s="85"/>
    </row>
    <row r="108" s="1" customFormat="1" ht="18" customHeight="1" spans="1:38">
      <c r="A108" s="67"/>
      <c r="B108" s="67"/>
      <c r="C108" s="69"/>
      <c r="D108" s="69"/>
      <c r="E108" s="69"/>
      <c r="F108" s="69"/>
      <c r="G108" s="67"/>
      <c r="H108" s="67"/>
      <c r="I108" s="67"/>
      <c r="J108" s="20"/>
      <c r="K108" s="25"/>
      <c r="L108" s="71"/>
      <c r="M108" s="72"/>
      <c r="N108" s="71"/>
      <c r="O108" s="82"/>
      <c r="P108" s="71"/>
      <c r="Q108" s="91"/>
      <c r="R108" s="71"/>
      <c r="S108" s="75"/>
      <c r="T108" s="91"/>
      <c r="U108" s="71"/>
      <c r="V108" s="91"/>
      <c r="W108" s="71"/>
      <c r="X108" s="72"/>
      <c r="Y108" s="71"/>
      <c r="Z108" s="72"/>
      <c r="AA108" s="27"/>
      <c r="AB108" s="72"/>
      <c r="AC108" s="71"/>
      <c r="AD108" s="75"/>
      <c r="AE108" s="26"/>
      <c r="AF108" s="75" t="e">
        <f>AC108*#REF!</f>
        <v>#REF!</v>
      </c>
      <c r="AG108" s="82"/>
      <c r="AH108" s="83"/>
      <c r="AI108" s="20"/>
      <c r="AJ108" s="67"/>
      <c r="AK108" s="84"/>
      <c r="AL108" s="85"/>
    </row>
    <row r="109" s="1" customFormat="1" ht="18" customHeight="1" spans="1:38">
      <c r="A109" s="67"/>
      <c r="B109" s="67"/>
      <c r="C109" s="69"/>
      <c r="D109" s="69"/>
      <c r="E109" s="69"/>
      <c r="F109" s="69"/>
      <c r="G109" s="67"/>
      <c r="H109" s="67"/>
      <c r="I109" s="67"/>
      <c r="J109" s="20"/>
      <c r="K109" s="25"/>
      <c r="L109" s="71"/>
      <c r="M109" s="72"/>
      <c r="N109" s="71"/>
      <c r="O109" s="82"/>
      <c r="P109" s="71"/>
      <c r="Q109" s="91"/>
      <c r="R109" s="71"/>
      <c r="S109" s="75"/>
      <c r="T109" s="91"/>
      <c r="U109" s="71"/>
      <c r="V109" s="91"/>
      <c r="W109" s="71"/>
      <c r="X109" s="72"/>
      <c r="Y109" s="71"/>
      <c r="Z109" s="72"/>
      <c r="AA109" s="27"/>
      <c r="AB109" s="72"/>
      <c r="AC109" s="71"/>
      <c r="AD109" s="75"/>
      <c r="AE109" s="26"/>
      <c r="AF109" s="75" t="e">
        <f>AC109*#REF!</f>
        <v>#REF!</v>
      </c>
      <c r="AG109" s="82"/>
      <c r="AH109" s="83"/>
      <c r="AI109" s="20"/>
      <c r="AJ109" s="67"/>
      <c r="AK109" s="84"/>
      <c r="AL109" s="85"/>
    </row>
    <row r="110" s="1" customFormat="1" ht="18" customHeight="1" spans="1:38">
      <c r="A110" s="67"/>
      <c r="B110" s="67"/>
      <c r="C110" s="69"/>
      <c r="D110" s="69"/>
      <c r="E110" s="69"/>
      <c r="F110" s="69"/>
      <c r="G110" s="67"/>
      <c r="H110" s="67"/>
      <c r="I110" s="67"/>
      <c r="J110" s="20"/>
      <c r="K110" s="25"/>
      <c r="L110" s="71"/>
      <c r="M110" s="72"/>
      <c r="N110" s="71"/>
      <c r="O110" s="82"/>
      <c r="P110" s="71"/>
      <c r="Q110" s="91"/>
      <c r="R110" s="71"/>
      <c r="S110" s="75"/>
      <c r="T110" s="91"/>
      <c r="U110" s="71"/>
      <c r="V110" s="91"/>
      <c r="W110" s="71"/>
      <c r="X110" s="72"/>
      <c r="Y110" s="71"/>
      <c r="Z110" s="72"/>
      <c r="AA110" s="27"/>
      <c r="AB110" s="72"/>
      <c r="AC110" s="71"/>
      <c r="AD110" s="75"/>
      <c r="AE110" s="26"/>
      <c r="AF110" s="75" t="e">
        <f>AC110*#REF!</f>
        <v>#REF!</v>
      </c>
      <c r="AG110" s="82"/>
      <c r="AH110" s="83"/>
      <c r="AI110" s="20"/>
      <c r="AJ110" s="67"/>
      <c r="AK110" s="84"/>
      <c r="AL110" s="85"/>
    </row>
    <row r="111" s="1" customFormat="1" ht="18" customHeight="1" spans="1:38">
      <c r="A111" s="67"/>
      <c r="B111" s="67"/>
      <c r="C111" s="69"/>
      <c r="D111" s="69"/>
      <c r="E111" s="69"/>
      <c r="F111" s="69"/>
      <c r="G111" s="67"/>
      <c r="H111" s="67"/>
      <c r="I111" s="67"/>
      <c r="J111" s="20"/>
      <c r="K111" s="25"/>
      <c r="L111" s="71"/>
      <c r="M111" s="72"/>
      <c r="N111" s="71"/>
      <c r="O111" s="82"/>
      <c r="P111" s="71"/>
      <c r="Q111" s="91"/>
      <c r="R111" s="71"/>
      <c r="S111" s="75"/>
      <c r="T111" s="91"/>
      <c r="U111" s="71"/>
      <c r="V111" s="91"/>
      <c r="W111" s="71"/>
      <c r="X111" s="72"/>
      <c r="Y111" s="71"/>
      <c r="Z111" s="72"/>
      <c r="AA111" s="27"/>
      <c r="AB111" s="72"/>
      <c r="AC111" s="71"/>
      <c r="AD111" s="75"/>
      <c r="AE111" s="26"/>
      <c r="AF111" s="75" t="e">
        <f>AC111*#REF!</f>
        <v>#REF!</v>
      </c>
      <c r="AG111" s="82"/>
      <c r="AH111" s="83"/>
      <c r="AI111" s="20"/>
      <c r="AJ111" s="67"/>
      <c r="AK111" s="84"/>
      <c r="AL111" s="85"/>
    </row>
    <row r="112" s="1" customFormat="1" ht="18" customHeight="1" spans="1:38">
      <c r="A112" s="67"/>
      <c r="B112" s="67"/>
      <c r="C112" s="69"/>
      <c r="D112" s="69"/>
      <c r="E112" s="69"/>
      <c r="F112" s="69"/>
      <c r="G112" s="67"/>
      <c r="H112" s="67"/>
      <c r="I112" s="67"/>
      <c r="J112" s="20"/>
      <c r="K112" s="25"/>
      <c r="L112" s="71"/>
      <c r="M112" s="72"/>
      <c r="N112" s="71"/>
      <c r="O112" s="82"/>
      <c r="P112" s="71"/>
      <c r="Q112" s="91"/>
      <c r="R112" s="71"/>
      <c r="S112" s="75"/>
      <c r="T112" s="91"/>
      <c r="U112" s="71"/>
      <c r="V112" s="91"/>
      <c r="W112" s="71"/>
      <c r="X112" s="72"/>
      <c r="Y112" s="71"/>
      <c r="Z112" s="72"/>
      <c r="AA112" s="27"/>
      <c r="AB112" s="72"/>
      <c r="AC112" s="71"/>
      <c r="AD112" s="75"/>
      <c r="AE112" s="26"/>
      <c r="AF112" s="75" t="e">
        <f>AC112*#REF!</f>
        <v>#REF!</v>
      </c>
      <c r="AG112" s="82"/>
      <c r="AH112" s="83"/>
      <c r="AI112" s="20"/>
      <c r="AJ112" s="67"/>
      <c r="AK112" s="84"/>
      <c r="AL112" s="85"/>
    </row>
    <row r="113" s="1" customFormat="1" ht="18" customHeight="1" spans="1:38">
      <c r="A113" s="67"/>
      <c r="B113" s="67"/>
      <c r="C113" s="69"/>
      <c r="D113" s="69"/>
      <c r="E113" s="69"/>
      <c r="F113" s="69"/>
      <c r="G113" s="67"/>
      <c r="H113" s="67"/>
      <c r="I113" s="67"/>
      <c r="J113" s="20"/>
      <c r="K113" s="25"/>
      <c r="L113" s="71"/>
      <c r="M113" s="72"/>
      <c r="N113" s="71"/>
      <c r="O113" s="82"/>
      <c r="P113" s="71"/>
      <c r="Q113" s="91"/>
      <c r="R113" s="71"/>
      <c r="S113" s="75"/>
      <c r="T113" s="91"/>
      <c r="U113" s="71"/>
      <c r="V113" s="91"/>
      <c r="W113" s="71"/>
      <c r="X113" s="72"/>
      <c r="Y113" s="71"/>
      <c r="Z113" s="72"/>
      <c r="AA113" s="27"/>
      <c r="AB113" s="72"/>
      <c r="AC113" s="71"/>
      <c r="AD113" s="75"/>
      <c r="AE113" s="26"/>
      <c r="AF113" s="75" t="e">
        <f>AC113*#REF!</f>
        <v>#REF!</v>
      </c>
      <c r="AG113" s="82"/>
      <c r="AH113" s="83"/>
      <c r="AI113" s="20"/>
      <c r="AJ113" s="67"/>
      <c r="AK113" s="84"/>
      <c r="AL113" s="85"/>
    </row>
    <row r="114" s="1" customFormat="1" ht="18" customHeight="1" spans="1:38">
      <c r="A114" s="67"/>
      <c r="B114" s="67"/>
      <c r="C114" s="69"/>
      <c r="D114" s="69"/>
      <c r="E114" s="69"/>
      <c r="F114" s="69"/>
      <c r="G114" s="67"/>
      <c r="H114" s="67"/>
      <c r="I114" s="67"/>
      <c r="J114" s="20"/>
      <c r="K114" s="25"/>
      <c r="L114" s="71"/>
      <c r="M114" s="72"/>
      <c r="N114" s="71"/>
      <c r="O114" s="82"/>
      <c r="P114" s="71"/>
      <c r="Q114" s="91"/>
      <c r="R114" s="71"/>
      <c r="S114" s="75"/>
      <c r="T114" s="91"/>
      <c r="U114" s="71"/>
      <c r="V114" s="91"/>
      <c r="W114" s="71"/>
      <c r="X114" s="72"/>
      <c r="Y114" s="71"/>
      <c r="Z114" s="72"/>
      <c r="AA114" s="27"/>
      <c r="AB114" s="72"/>
      <c r="AC114" s="71"/>
      <c r="AD114" s="75"/>
      <c r="AE114" s="26"/>
      <c r="AF114" s="75" t="e">
        <f>AC114*#REF!</f>
        <v>#REF!</v>
      </c>
      <c r="AG114" s="82"/>
      <c r="AH114" s="83"/>
      <c r="AI114" s="20"/>
      <c r="AJ114" s="67"/>
      <c r="AK114" s="84"/>
      <c r="AL114" s="85"/>
    </row>
    <row r="115" s="1" customFormat="1" ht="18" customHeight="1" spans="1:38">
      <c r="A115" s="67"/>
      <c r="B115" s="67"/>
      <c r="C115" s="69"/>
      <c r="D115" s="69"/>
      <c r="E115" s="69"/>
      <c r="F115" s="69"/>
      <c r="G115" s="67"/>
      <c r="H115" s="67"/>
      <c r="I115" s="67"/>
      <c r="J115" s="20"/>
      <c r="K115" s="25"/>
      <c r="L115" s="71"/>
      <c r="M115" s="72"/>
      <c r="N115" s="71"/>
      <c r="O115" s="82"/>
      <c r="P115" s="71"/>
      <c r="Q115" s="91"/>
      <c r="R115" s="71"/>
      <c r="S115" s="75"/>
      <c r="T115" s="91"/>
      <c r="U115" s="71"/>
      <c r="V115" s="91"/>
      <c r="W115" s="71"/>
      <c r="X115" s="72"/>
      <c r="Y115" s="71"/>
      <c r="Z115" s="72"/>
      <c r="AA115" s="27"/>
      <c r="AB115" s="72"/>
      <c r="AC115" s="71"/>
      <c r="AD115" s="75"/>
      <c r="AE115" s="26"/>
      <c r="AF115" s="75" t="e">
        <f>AC115*#REF!</f>
        <v>#REF!</v>
      </c>
      <c r="AG115" s="82"/>
      <c r="AH115" s="83"/>
      <c r="AI115" s="20"/>
      <c r="AJ115" s="67"/>
      <c r="AK115" s="84"/>
      <c r="AL115" s="85"/>
    </row>
    <row r="116" s="1" customFormat="1" ht="18" customHeight="1" spans="1:38">
      <c r="A116" s="67"/>
      <c r="B116" s="67"/>
      <c r="C116" s="69"/>
      <c r="D116" s="69"/>
      <c r="E116" s="69"/>
      <c r="F116" s="69"/>
      <c r="G116" s="67"/>
      <c r="H116" s="67"/>
      <c r="I116" s="67"/>
      <c r="J116" s="20"/>
      <c r="K116" s="25"/>
      <c r="L116" s="71"/>
      <c r="M116" s="72"/>
      <c r="N116" s="71"/>
      <c r="O116" s="82"/>
      <c r="P116" s="71"/>
      <c r="Q116" s="91"/>
      <c r="R116" s="71"/>
      <c r="S116" s="75"/>
      <c r="T116" s="91"/>
      <c r="U116" s="71"/>
      <c r="V116" s="91"/>
      <c r="W116" s="71"/>
      <c r="X116" s="72"/>
      <c r="Y116" s="71"/>
      <c r="Z116" s="72"/>
      <c r="AA116" s="27"/>
      <c r="AB116" s="72"/>
      <c r="AC116" s="71"/>
      <c r="AD116" s="75"/>
      <c r="AE116" s="26"/>
      <c r="AF116" s="75" t="e">
        <f>AC116*#REF!</f>
        <v>#REF!</v>
      </c>
      <c r="AG116" s="82"/>
      <c r="AH116" s="83"/>
      <c r="AI116" s="20"/>
      <c r="AJ116" s="67"/>
      <c r="AK116" s="84"/>
      <c r="AL116" s="85"/>
    </row>
    <row r="117" s="1" customFormat="1" ht="18" customHeight="1" spans="1:38">
      <c r="A117" s="67"/>
      <c r="B117" s="67"/>
      <c r="C117" s="69"/>
      <c r="D117" s="69"/>
      <c r="E117" s="69"/>
      <c r="F117" s="69"/>
      <c r="G117" s="67"/>
      <c r="H117" s="67"/>
      <c r="I117" s="67"/>
      <c r="J117" s="20"/>
      <c r="K117" s="25"/>
      <c r="L117" s="71"/>
      <c r="M117" s="72"/>
      <c r="N117" s="71"/>
      <c r="O117" s="82"/>
      <c r="P117" s="71"/>
      <c r="Q117" s="91"/>
      <c r="R117" s="71"/>
      <c r="S117" s="75"/>
      <c r="T117" s="91"/>
      <c r="U117" s="71"/>
      <c r="V117" s="91"/>
      <c r="W117" s="71"/>
      <c r="X117" s="72"/>
      <c r="Y117" s="71"/>
      <c r="Z117" s="72"/>
      <c r="AA117" s="27"/>
      <c r="AB117" s="72"/>
      <c r="AC117" s="71"/>
      <c r="AD117" s="75"/>
      <c r="AE117" s="26"/>
      <c r="AF117" s="75" t="e">
        <f>AC117*#REF!</f>
        <v>#REF!</v>
      </c>
      <c r="AG117" s="82"/>
      <c r="AH117" s="83"/>
      <c r="AI117" s="20"/>
      <c r="AJ117" s="67"/>
      <c r="AK117" s="84"/>
      <c r="AL117" s="85"/>
    </row>
    <row r="118" s="1" customFormat="1" ht="18" customHeight="1" spans="1:38">
      <c r="A118" s="67"/>
      <c r="B118" s="67"/>
      <c r="C118" s="69"/>
      <c r="D118" s="69"/>
      <c r="E118" s="69"/>
      <c r="F118" s="69"/>
      <c r="G118" s="67"/>
      <c r="H118" s="67"/>
      <c r="I118" s="67"/>
      <c r="J118" s="20"/>
      <c r="K118" s="25"/>
      <c r="L118" s="71"/>
      <c r="M118" s="72"/>
      <c r="N118" s="71"/>
      <c r="O118" s="82"/>
      <c r="P118" s="71"/>
      <c r="Q118" s="91"/>
      <c r="R118" s="71"/>
      <c r="S118" s="75"/>
      <c r="T118" s="91"/>
      <c r="U118" s="71"/>
      <c r="V118" s="91"/>
      <c r="W118" s="71"/>
      <c r="X118" s="72"/>
      <c r="Y118" s="71"/>
      <c r="Z118" s="72"/>
      <c r="AA118" s="27"/>
      <c r="AB118" s="72"/>
      <c r="AC118" s="71"/>
      <c r="AD118" s="75"/>
      <c r="AE118" s="26"/>
      <c r="AF118" s="75" t="e">
        <f>AC118*#REF!</f>
        <v>#REF!</v>
      </c>
      <c r="AG118" s="82"/>
      <c r="AH118" s="83"/>
      <c r="AI118" s="20"/>
      <c r="AJ118" s="67"/>
      <c r="AK118" s="84"/>
      <c r="AL118" s="85"/>
    </row>
    <row r="119" s="1" customFormat="1" ht="18" customHeight="1" spans="1:38">
      <c r="A119" s="67"/>
      <c r="B119" s="67"/>
      <c r="C119" s="69"/>
      <c r="D119" s="69"/>
      <c r="E119" s="69"/>
      <c r="F119" s="69"/>
      <c r="G119" s="67"/>
      <c r="H119" s="67"/>
      <c r="I119" s="67"/>
      <c r="J119" s="20"/>
      <c r="K119" s="25"/>
      <c r="L119" s="71"/>
      <c r="M119" s="72"/>
      <c r="N119" s="71"/>
      <c r="O119" s="82"/>
      <c r="P119" s="71"/>
      <c r="Q119" s="91"/>
      <c r="R119" s="71"/>
      <c r="S119" s="75"/>
      <c r="T119" s="91"/>
      <c r="U119" s="71"/>
      <c r="V119" s="91"/>
      <c r="W119" s="71"/>
      <c r="X119" s="72"/>
      <c r="Y119" s="71"/>
      <c r="Z119" s="72"/>
      <c r="AA119" s="27"/>
      <c r="AB119" s="72"/>
      <c r="AC119" s="71"/>
      <c r="AD119" s="75"/>
      <c r="AE119" s="26"/>
      <c r="AF119" s="75" t="e">
        <f>AC119*#REF!</f>
        <v>#REF!</v>
      </c>
      <c r="AG119" s="82"/>
      <c r="AH119" s="83"/>
      <c r="AI119" s="20"/>
      <c r="AJ119" s="67"/>
      <c r="AK119" s="84"/>
      <c r="AL119" s="85"/>
    </row>
    <row r="120" s="1" customFormat="1" ht="18" customHeight="1" spans="1:38">
      <c r="A120" s="67"/>
      <c r="B120" s="67"/>
      <c r="C120" s="69"/>
      <c r="D120" s="69"/>
      <c r="E120" s="69"/>
      <c r="F120" s="69"/>
      <c r="G120" s="67"/>
      <c r="H120" s="67"/>
      <c r="I120" s="67"/>
      <c r="J120" s="20"/>
      <c r="K120" s="25"/>
      <c r="L120" s="71"/>
      <c r="M120" s="72"/>
      <c r="N120" s="71"/>
      <c r="O120" s="82"/>
      <c r="P120" s="71"/>
      <c r="Q120" s="91"/>
      <c r="R120" s="71"/>
      <c r="S120" s="75"/>
      <c r="T120" s="91"/>
      <c r="U120" s="71"/>
      <c r="V120" s="91"/>
      <c r="W120" s="71"/>
      <c r="X120" s="72"/>
      <c r="Y120" s="71"/>
      <c r="Z120" s="72"/>
      <c r="AA120" s="27"/>
      <c r="AB120" s="72"/>
      <c r="AC120" s="71"/>
      <c r="AD120" s="75"/>
      <c r="AE120" s="26"/>
      <c r="AF120" s="75" t="e">
        <f>AC120*#REF!</f>
        <v>#REF!</v>
      </c>
      <c r="AG120" s="82"/>
      <c r="AH120" s="83"/>
      <c r="AI120" s="20"/>
      <c r="AJ120" s="67"/>
      <c r="AK120" s="84"/>
      <c r="AL120" s="85"/>
    </row>
    <row r="121" s="1" customFormat="1" ht="18" customHeight="1" spans="1:38">
      <c r="A121" s="67"/>
      <c r="B121" s="67"/>
      <c r="C121" s="69"/>
      <c r="D121" s="69"/>
      <c r="E121" s="69"/>
      <c r="F121" s="69"/>
      <c r="G121" s="67"/>
      <c r="H121" s="67"/>
      <c r="I121" s="67"/>
      <c r="J121" s="20"/>
      <c r="K121" s="25"/>
      <c r="L121" s="71"/>
      <c r="M121" s="72"/>
      <c r="N121" s="71"/>
      <c r="O121" s="82"/>
      <c r="P121" s="71"/>
      <c r="Q121" s="91"/>
      <c r="R121" s="71"/>
      <c r="S121" s="75"/>
      <c r="T121" s="91"/>
      <c r="U121" s="71"/>
      <c r="V121" s="91"/>
      <c r="W121" s="71"/>
      <c r="X121" s="72"/>
      <c r="Y121" s="71"/>
      <c r="Z121" s="72"/>
      <c r="AA121" s="27"/>
      <c r="AB121" s="72"/>
      <c r="AC121" s="71"/>
      <c r="AD121" s="75"/>
      <c r="AE121" s="26"/>
      <c r="AF121" s="75" t="e">
        <f>AC121*#REF!</f>
        <v>#REF!</v>
      </c>
      <c r="AG121" s="82"/>
      <c r="AH121" s="83"/>
      <c r="AI121" s="20"/>
      <c r="AJ121" s="67"/>
      <c r="AK121" s="84"/>
      <c r="AL121" s="85"/>
    </row>
    <row r="122" s="1" customFormat="1" ht="18" customHeight="1" spans="1:38">
      <c r="A122" s="67"/>
      <c r="B122" s="67"/>
      <c r="C122" s="69"/>
      <c r="D122" s="69"/>
      <c r="E122" s="69"/>
      <c r="F122" s="69"/>
      <c r="G122" s="67"/>
      <c r="H122" s="67"/>
      <c r="I122" s="67"/>
      <c r="J122" s="20"/>
      <c r="K122" s="25"/>
      <c r="L122" s="71"/>
      <c r="M122" s="72"/>
      <c r="N122" s="71"/>
      <c r="O122" s="82"/>
      <c r="P122" s="71"/>
      <c r="Q122" s="91"/>
      <c r="R122" s="71"/>
      <c r="S122" s="75"/>
      <c r="T122" s="91"/>
      <c r="U122" s="71"/>
      <c r="V122" s="91"/>
      <c r="W122" s="71"/>
      <c r="X122" s="72"/>
      <c r="Y122" s="71"/>
      <c r="Z122" s="72"/>
      <c r="AA122" s="27"/>
      <c r="AB122" s="72"/>
      <c r="AC122" s="71"/>
      <c r="AD122" s="75"/>
      <c r="AE122" s="26"/>
      <c r="AF122" s="75" t="e">
        <f>AC122*#REF!</f>
        <v>#REF!</v>
      </c>
      <c r="AG122" s="82"/>
      <c r="AH122" s="83"/>
      <c r="AI122" s="20"/>
      <c r="AJ122" s="67"/>
      <c r="AK122" s="84"/>
      <c r="AL122" s="85"/>
    </row>
    <row r="123" s="1" customFormat="1" ht="18" customHeight="1" spans="1:38">
      <c r="A123" s="67"/>
      <c r="B123" s="67"/>
      <c r="C123" s="69"/>
      <c r="D123" s="69"/>
      <c r="E123" s="69"/>
      <c r="F123" s="69"/>
      <c r="G123" s="67"/>
      <c r="H123" s="67"/>
      <c r="I123" s="67"/>
      <c r="J123" s="20"/>
      <c r="K123" s="25"/>
      <c r="L123" s="71"/>
      <c r="M123" s="72"/>
      <c r="N123" s="71"/>
      <c r="O123" s="82"/>
      <c r="P123" s="71"/>
      <c r="Q123" s="91"/>
      <c r="R123" s="71"/>
      <c r="S123" s="75"/>
      <c r="T123" s="91"/>
      <c r="U123" s="71"/>
      <c r="V123" s="91"/>
      <c r="W123" s="71"/>
      <c r="X123" s="72"/>
      <c r="Y123" s="71"/>
      <c r="Z123" s="72"/>
      <c r="AA123" s="27"/>
      <c r="AB123" s="72"/>
      <c r="AC123" s="71"/>
      <c r="AD123" s="75"/>
      <c r="AE123" s="26"/>
      <c r="AF123" s="75" t="e">
        <f>AC123*#REF!</f>
        <v>#REF!</v>
      </c>
      <c r="AG123" s="82"/>
      <c r="AH123" s="83"/>
      <c r="AI123" s="20"/>
      <c r="AJ123" s="67"/>
      <c r="AK123" s="84"/>
      <c r="AL123" s="85"/>
    </row>
    <row r="124" s="1" customFormat="1" ht="18" customHeight="1" spans="1:38">
      <c r="A124" s="67"/>
      <c r="B124" s="67"/>
      <c r="C124" s="69"/>
      <c r="D124" s="69"/>
      <c r="E124" s="69"/>
      <c r="F124" s="69"/>
      <c r="G124" s="67"/>
      <c r="H124" s="67"/>
      <c r="I124" s="67"/>
      <c r="J124" s="20"/>
      <c r="K124" s="25"/>
      <c r="L124" s="71"/>
      <c r="M124" s="72"/>
      <c r="N124" s="71"/>
      <c r="O124" s="82"/>
      <c r="P124" s="71"/>
      <c r="Q124" s="91"/>
      <c r="R124" s="71"/>
      <c r="S124" s="75"/>
      <c r="T124" s="91"/>
      <c r="U124" s="71"/>
      <c r="V124" s="91"/>
      <c r="W124" s="71"/>
      <c r="X124" s="72"/>
      <c r="Y124" s="71"/>
      <c r="Z124" s="72"/>
      <c r="AA124" s="27"/>
      <c r="AB124" s="72"/>
      <c r="AC124" s="71"/>
      <c r="AD124" s="75"/>
      <c r="AE124" s="26"/>
      <c r="AF124" s="75" t="e">
        <f>AC124*#REF!</f>
        <v>#REF!</v>
      </c>
      <c r="AG124" s="82"/>
      <c r="AH124" s="83"/>
      <c r="AI124" s="20"/>
      <c r="AJ124" s="67"/>
      <c r="AK124" s="84"/>
      <c r="AL124" s="85"/>
    </row>
    <row r="125" s="1" customFormat="1" ht="18" customHeight="1" spans="1:38">
      <c r="A125" s="67"/>
      <c r="B125" s="67"/>
      <c r="C125" s="69"/>
      <c r="D125" s="69"/>
      <c r="E125" s="69"/>
      <c r="F125" s="69"/>
      <c r="G125" s="67"/>
      <c r="H125" s="67"/>
      <c r="I125" s="67"/>
      <c r="J125" s="20"/>
      <c r="K125" s="25"/>
      <c r="L125" s="71"/>
      <c r="M125" s="72"/>
      <c r="N125" s="71"/>
      <c r="O125" s="82"/>
      <c r="P125" s="71"/>
      <c r="Q125" s="91"/>
      <c r="R125" s="71"/>
      <c r="S125" s="75"/>
      <c r="T125" s="91"/>
      <c r="U125" s="71"/>
      <c r="V125" s="91"/>
      <c r="W125" s="71"/>
      <c r="X125" s="72"/>
      <c r="Y125" s="71"/>
      <c r="Z125" s="72"/>
      <c r="AA125" s="27"/>
      <c r="AB125" s="72"/>
      <c r="AC125" s="71"/>
      <c r="AD125" s="75"/>
      <c r="AE125" s="26"/>
      <c r="AF125" s="75" t="e">
        <f>AC125*#REF!</f>
        <v>#REF!</v>
      </c>
      <c r="AG125" s="82"/>
      <c r="AH125" s="83"/>
      <c r="AI125" s="20"/>
      <c r="AJ125" s="67"/>
      <c r="AK125" s="84"/>
      <c r="AL125" s="85"/>
    </row>
    <row r="126" s="1" customFormat="1" ht="18" customHeight="1" spans="1:38">
      <c r="A126" s="67"/>
      <c r="B126" s="67"/>
      <c r="C126" s="69"/>
      <c r="D126" s="69"/>
      <c r="E126" s="69"/>
      <c r="F126" s="69"/>
      <c r="G126" s="67"/>
      <c r="H126" s="67"/>
      <c r="I126" s="67"/>
      <c r="J126" s="20"/>
      <c r="K126" s="25"/>
      <c r="L126" s="71"/>
      <c r="M126" s="72"/>
      <c r="N126" s="71"/>
      <c r="O126" s="82"/>
      <c r="P126" s="71"/>
      <c r="Q126" s="91"/>
      <c r="R126" s="71"/>
      <c r="S126" s="75"/>
      <c r="T126" s="91"/>
      <c r="U126" s="71"/>
      <c r="V126" s="91"/>
      <c r="W126" s="71"/>
      <c r="X126" s="72"/>
      <c r="Y126" s="71"/>
      <c r="Z126" s="72"/>
      <c r="AA126" s="27"/>
      <c r="AB126" s="72"/>
      <c r="AC126" s="71"/>
      <c r="AD126" s="75"/>
      <c r="AE126" s="26"/>
      <c r="AF126" s="75" t="e">
        <f>AC126*#REF!</f>
        <v>#REF!</v>
      </c>
      <c r="AG126" s="82"/>
      <c r="AH126" s="83"/>
      <c r="AI126" s="20"/>
      <c r="AJ126" s="67"/>
      <c r="AK126" s="84"/>
      <c r="AL126" s="85"/>
    </row>
    <row r="127" s="1" customFormat="1" ht="18" customHeight="1" spans="1:38">
      <c r="A127" s="67"/>
      <c r="B127" s="67"/>
      <c r="C127" s="69"/>
      <c r="D127" s="69"/>
      <c r="E127" s="69"/>
      <c r="F127" s="69"/>
      <c r="G127" s="67"/>
      <c r="H127" s="67"/>
      <c r="I127" s="67"/>
      <c r="J127" s="20"/>
      <c r="K127" s="25"/>
      <c r="L127" s="71"/>
      <c r="M127" s="72"/>
      <c r="N127" s="71"/>
      <c r="O127" s="82"/>
      <c r="P127" s="71"/>
      <c r="Q127" s="91"/>
      <c r="R127" s="71"/>
      <c r="S127" s="75"/>
      <c r="T127" s="91"/>
      <c r="U127" s="71"/>
      <c r="V127" s="91"/>
      <c r="W127" s="71"/>
      <c r="X127" s="72"/>
      <c r="Y127" s="71"/>
      <c r="Z127" s="72"/>
      <c r="AA127" s="27"/>
      <c r="AB127" s="72"/>
      <c r="AC127" s="71"/>
      <c r="AD127" s="75"/>
      <c r="AE127" s="26"/>
      <c r="AF127" s="75" t="e">
        <f>AC127*#REF!</f>
        <v>#REF!</v>
      </c>
      <c r="AG127" s="82"/>
      <c r="AH127" s="83"/>
      <c r="AI127" s="20"/>
      <c r="AJ127" s="67"/>
      <c r="AK127" s="84"/>
      <c r="AL127" s="85"/>
    </row>
    <row r="128" s="1" customFormat="1" ht="18" customHeight="1" spans="1:38">
      <c r="A128" s="67"/>
      <c r="B128" s="67"/>
      <c r="C128" s="69"/>
      <c r="D128" s="69"/>
      <c r="E128" s="69"/>
      <c r="F128" s="69"/>
      <c r="G128" s="67"/>
      <c r="H128" s="67"/>
      <c r="I128" s="67"/>
      <c r="J128" s="20"/>
      <c r="K128" s="25"/>
      <c r="L128" s="71"/>
      <c r="M128" s="72"/>
      <c r="N128" s="71"/>
      <c r="O128" s="82"/>
      <c r="P128" s="71"/>
      <c r="Q128" s="91"/>
      <c r="R128" s="71"/>
      <c r="S128" s="75"/>
      <c r="T128" s="91"/>
      <c r="U128" s="71"/>
      <c r="V128" s="91"/>
      <c r="W128" s="71"/>
      <c r="X128" s="72"/>
      <c r="Y128" s="71"/>
      <c r="Z128" s="72"/>
      <c r="AA128" s="27"/>
      <c r="AB128" s="72"/>
      <c r="AC128" s="71"/>
      <c r="AD128" s="75"/>
      <c r="AE128" s="26"/>
      <c r="AF128" s="75" t="e">
        <f>AC128*#REF!</f>
        <v>#REF!</v>
      </c>
      <c r="AG128" s="82"/>
      <c r="AH128" s="83"/>
      <c r="AI128" s="20"/>
      <c r="AJ128" s="67"/>
      <c r="AK128" s="84"/>
      <c r="AL128" s="85"/>
    </row>
    <row r="129" s="1" customFormat="1" ht="18" customHeight="1" spans="1:38">
      <c r="A129" s="67"/>
      <c r="B129" s="67"/>
      <c r="C129" s="69"/>
      <c r="D129" s="69"/>
      <c r="E129" s="69"/>
      <c r="F129" s="69"/>
      <c r="G129" s="67"/>
      <c r="H129" s="67"/>
      <c r="I129" s="67"/>
      <c r="J129" s="20"/>
      <c r="K129" s="25"/>
      <c r="L129" s="71"/>
      <c r="M129" s="72"/>
      <c r="N129" s="71"/>
      <c r="O129" s="82"/>
      <c r="P129" s="71"/>
      <c r="Q129" s="91"/>
      <c r="R129" s="71"/>
      <c r="S129" s="75"/>
      <c r="T129" s="91"/>
      <c r="U129" s="71"/>
      <c r="V129" s="91"/>
      <c r="W129" s="71"/>
      <c r="X129" s="72"/>
      <c r="Y129" s="71"/>
      <c r="Z129" s="72"/>
      <c r="AA129" s="27"/>
      <c r="AB129" s="72"/>
      <c r="AC129" s="71"/>
      <c r="AD129" s="75"/>
      <c r="AE129" s="26"/>
      <c r="AF129" s="75" t="e">
        <f>AC129*#REF!</f>
        <v>#REF!</v>
      </c>
      <c r="AG129" s="82"/>
      <c r="AH129" s="83"/>
      <c r="AI129" s="20"/>
      <c r="AJ129" s="67"/>
      <c r="AK129" s="84"/>
      <c r="AL129" s="85"/>
    </row>
    <row r="130" s="1" customFormat="1" ht="18" customHeight="1" spans="1:38">
      <c r="A130" s="67"/>
      <c r="B130" s="67"/>
      <c r="C130" s="69"/>
      <c r="D130" s="69"/>
      <c r="E130" s="69"/>
      <c r="F130" s="69"/>
      <c r="G130" s="67"/>
      <c r="H130" s="67"/>
      <c r="I130" s="67"/>
      <c r="J130" s="20"/>
      <c r="K130" s="25"/>
      <c r="L130" s="71"/>
      <c r="M130" s="72"/>
      <c r="N130" s="71"/>
      <c r="O130" s="82"/>
      <c r="P130" s="71"/>
      <c r="Q130" s="91"/>
      <c r="R130" s="71"/>
      <c r="S130" s="75"/>
      <c r="T130" s="91"/>
      <c r="U130" s="71"/>
      <c r="V130" s="91"/>
      <c r="W130" s="71"/>
      <c r="X130" s="72"/>
      <c r="Y130" s="71"/>
      <c r="Z130" s="72"/>
      <c r="AA130" s="27"/>
      <c r="AB130" s="72"/>
      <c r="AC130" s="71"/>
      <c r="AD130" s="75"/>
      <c r="AE130" s="26"/>
      <c r="AF130" s="75" t="e">
        <f>AC130*#REF!</f>
        <v>#REF!</v>
      </c>
      <c r="AG130" s="82"/>
      <c r="AH130" s="83"/>
      <c r="AI130" s="20"/>
      <c r="AJ130" s="67"/>
      <c r="AK130" s="84"/>
      <c r="AL130" s="85"/>
    </row>
    <row r="131" s="1" customFormat="1" ht="18" customHeight="1" spans="1:38">
      <c r="A131" s="67"/>
      <c r="B131" s="67"/>
      <c r="C131" s="69"/>
      <c r="D131" s="69"/>
      <c r="E131" s="69"/>
      <c r="F131" s="69"/>
      <c r="G131" s="67"/>
      <c r="H131" s="67"/>
      <c r="I131" s="67"/>
      <c r="J131" s="20"/>
      <c r="K131" s="25"/>
      <c r="L131" s="71"/>
      <c r="M131" s="72"/>
      <c r="N131" s="71"/>
      <c r="O131" s="82"/>
      <c r="P131" s="71"/>
      <c r="Q131" s="91"/>
      <c r="R131" s="71"/>
      <c r="S131" s="75"/>
      <c r="T131" s="91"/>
      <c r="U131" s="71"/>
      <c r="V131" s="91"/>
      <c r="W131" s="71"/>
      <c r="X131" s="72"/>
      <c r="Y131" s="71"/>
      <c r="Z131" s="72"/>
      <c r="AA131" s="27"/>
      <c r="AB131" s="72"/>
      <c r="AC131" s="71"/>
      <c r="AD131" s="75"/>
      <c r="AE131" s="26"/>
      <c r="AF131" s="75" t="e">
        <f>AC131*#REF!</f>
        <v>#REF!</v>
      </c>
      <c r="AG131" s="82"/>
      <c r="AH131" s="83"/>
      <c r="AI131" s="20"/>
      <c r="AJ131" s="67"/>
      <c r="AK131" s="84"/>
      <c r="AL131" s="85"/>
    </row>
    <row r="132" s="1" customFormat="1" ht="18" customHeight="1" spans="1:38">
      <c r="A132" s="67"/>
      <c r="B132" s="67"/>
      <c r="C132" s="69"/>
      <c r="D132" s="69"/>
      <c r="E132" s="69"/>
      <c r="F132" s="69"/>
      <c r="G132" s="67"/>
      <c r="H132" s="67"/>
      <c r="I132" s="67"/>
      <c r="J132" s="20"/>
      <c r="K132" s="25"/>
      <c r="L132" s="71"/>
      <c r="M132" s="72"/>
      <c r="N132" s="71"/>
      <c r="O132" s="82"/>
      <c r="P132" s="71"/>
      <c r="Q132" s="91"/>
      <c r="R132" s="71"/>
      <c r="S132" s="75"/>
      <c r="T132" s="91"/>
      <c r="U132" s="71"/>
      <c r="V132" s="91"/>
      <c r="W132" s="71"/>
      <c r="X132" s="72"/>
      <c r="Y132" s="71"/>
      <c r="Z132" s="72"/>
      <c r="AA132" s="27"/>
      <c r="AB132" s="72"/>
      <c r="AC132" s="71"/>
      <c r="AD132" s="75"/>
      <c r="AE132" s="26"/>
      <c r="AF132" s="75" t="e">
        <f>AC132*#REF!</f>
        <v>#REF!</v>
      </c>
      <c r="AG132" s="82"/>
      <c r="AH132" s="83"/>
      <c r="AI132" s="20"/>
      <c r="AJ132" s="67"/>
      <c r="AK132" s="84"/>
      <c r="AL132" s="85"/>
    </row>
    <row r="133" s="1" customFormat="1" ht="18" customHeight="1" spans="1:38">
      <c r="A133" s="67"/>
      <c r="B133" s="67"/>
      <c r="C133" s="69"/>
      <c r="D133" s="69"/>
      <c r="E133" s="69"/>
      <c r="F133" s="69"/>
      <c r="G133" s="67"/>
      <c r="H133" s="67"/>
      <c r="I133" s="67"/>
      <c r="J133" s="20"/>
      <c r="K133" s="25"/>
      <c r="L133" s="71"/>
      <c r="M133" s="72"/>
      <c r="N133" s="71"/>
      <c r="O133" s="82"/>
      <c r="P133" s="71"/>
      <c r="Q133" s="91"/>
      <c r="R133" s="71"/>
      <c r="S133" s="75"/>
      <c r="T133" s="91"/>
      <c r="U133" s="71"/>
      <c r="V133" s="91"/>
      <c r="W133" s="71"/>
      <c r="X133" s="72"/>
      <c r="Y133" s="71"/>
      <c r="Z133" s="72"/>
      <c r="AA133" s="27"/>
      <c r="AB133" s="72"/>
      <c r="AC133" s="71"/>
      <c r="AD133" s="75"/>
      <c r="AE133" s="26"/>
      <c r="AF133" s="75" t="e">
        <f>AC133*#REF!</f>
        <v>#REF!</v>
      </c>
      <c r="AG133" s="82"/>
      <c r="AH133" s="83"/>
      <c r="AI133" s="20"/>
      <c r="AJ133" s="67"/>
      <c r="AK133" s="84"/>
      <c r="AL133" s="85"/>
    </row>
    <row r="134" s="1" customFormat="1" ht="18" customHeight="1" spans="1:38">
      <c r="A134" s="67"/>
      <c r="B134" s="67"/>
      <c r="C134" s="69"/>
      <c r="D134" s="69"/>
      <c r="E134" s="69"/>
      <c r="F134" s="69"/>
      <c r="G134" s="67"/>
      <c r="H134" s="67"/>
      <c r="I134" s="67"/>
      <c r="J134" s="20"/>
      <c r="K134" s="25"/>
      <c r="L134" s="71"/>
      <c r="M134" s="72"/>
      <c r="N134" s="71"/>
      <c r="O134" s="82"/>
      <c r="P134" s="71"/>
      <c r="Q134" s="91"/>
      <c r="R134" s="71"/>
      <c r="S134" s="75"/>
      <c r="T134" s="91"/>
      <c r="U134" s="71"/>
      <c r="V134" s="91"/>
      <c r="W134" s="71"/>
      <c r="X134" s="72"/>
      <c r="Y134" s="71"/>
      <c r="Z134" s="72"/>
      <c r="AA134" s="27"/>
      <c r="AB134" s="72"/>
      <c r="AC134" s="71"/>
      <c r="AD134" s="75"/>
      <c r="AE134" s="26"/>
      <c r="AF134" s="75" t="e">
        <f>AC134*#REF!</f>
        <v>#REF!</v>
      </c>
      <c r="AG134" s="82"/>
      <c r="AH134" s="83"/>
      <c r="AI134" s="20"/>
      <c r="AJ134" s="67"/>
      <c r="AK134" s="84"/>
      <c r="AL134" s="85"/>
    </row>
    <row r="135" s="1" customFormat="1" ht="18" customHeight="1" spans="1:38">
      <c r="A135" s="67"/>
      <c r="B135" s="67"/>
      <c r="C135" s="69"/>
      <c r="D135" s="69"/>
      <c r="E135" s="69"/>
      <c r="F135" s="69"/>
      <c r="G135" s="67"/>
      <c r="H135" s="67"/>
      <c r="I135" s="67"/>
      <c r="J135" s="20"/>
      <c r="K135" s="25"/>
      <c r="L135" s="71"/>
      <c r="M135" s="72"/>
      <c r="N135" s="71"/>
      <c r="O135" s="82"/>
      <c r="P135" s="71"/>
      <c r="Q135" s="91"/>
      <c r="R135" s="71"/>
      <c r="S135" s="75"/>
      <c r="T135" s="91"/>
      <c r="U135" s="71"/>
      <c r="V135" s="91"/>
      <c r="W135" s="71"/>
      <c r="X135" s="72"/>
      <c r="Y135" s="71"/>
      <c r="Z135" s="72"/>
      <c r="AA135" s="27"/>
      <c r="AB135" s="72"/>
      <c r="AC135" s="71"/>
      <c r="AD135" s="75"/>
      <c r="AE135" s="26"/>
      <c r="AF135" s="75" t="e">
        <f>AC135*#REF!</f>
        <v>#REF!</v>
      </c>
      <c r="AG135" s="82"/>
      <c r="AH135" s="83"/>
      <c r="AI135" s="20"/>
      <c r="AJ135" s="67"/>
      <c r="AK135" s="84"/>
      <c r="AL135" s="85"/>
    </row>
    <row r="136" s="1" customFormat="1" ht="18" customHeight="1" spans="1:38">
      <c r="A136" s="67"/>
      <c r="B136" s="67"/>
      <c r="C136" s="69"/>
      <c r="D136" s="69"/>
      <c r="E136" s="69"/>
      <c r="F136" s="69"/>
      <c r="G136" s="67"/>
      <c r="H136" s="67"/>
      <c r="I136" s="67"/>
      <c r="J136" s="20"/>
      <c r="K136" s="25"/>
      <c r="L136" s="71"/>
      <c r="M136" s="72"/>
      <c r="N136" s="71"/>
      <c r="O136" s="82"/>
      <c r="P136" s="71"/>
      <c r="Q136" s="91"/>
      <c r="R136" s="71"/>
      <c r="S136" s="75"/>
      <c r="T136" s="91"/>
      <c r="U136" s="71"/>
      <c r="V136" s="91"/>
      <c r="W136" s="71"/>
      <c r="X136" s="72"/>
      <c r="Y136" s="71"/>
      <c r="Z136" s="72"/>
      <c r="AA136" s="27"/>
      <c r="AB136" s="72"/>
      <c r="AC136" s="71"/>
      <c r="AD136" s="75"/>
      <c r="AE136" s="26"/>
      <c r="AF136" s="75" t="e">
        <f>AC136*#REF!</f>
        <v>#REF!</v>
      </c>
      <c r="AG136" s="82"/>
      <c r="AH136" s="83"/>
      <c r="AI136" s="20"/>
      <c r="AJ136" s="67"/>
      <c r="AK136" s="84"/>
      <c r="AL136" s="85"/>
    </row>
    <row r="137" s="1" customFormat="1" ht="18" customHeight="1" spans="1:38">
      <c r="A137" s="67"/>
      <c r="B137" s="67"/>
      <c r="C137" s="69"/>
      <c r="D137" s="69"/>
      <c r="E137" s="69"/>
      <c r="F137" s="69"/>
      <c r="G137" s="67"/>
      <c r="H137" s="67"/>
      <c r="I137" s="67"/>
      <c r="J137" s="20"/>
      <c r="K137" s="25"/>
      <c r="L137" s="71"/>
      <c r="M137" s="72"/>
      <c r="N137" s="71"/>
      <c r="O137" s="82"/>
      <c r="P137" s="71"/>
      <c r="Q137" s="91"/>
      <c r="R137" s="71"/>
      <c r="S137" s="75"/>
      <c r="T137" s="91"/>
      <c r="U137" s="71"/>
      <c r="V137" s="91"/>
      <c r="W137" s="71"/>
      <c r="X137" s="72"/>
      <c r="Y137" s="71"/>
      <c r="Z137" s="72"/>
      <c r="AA137" s="27"/>
      <c r="AB137" s="72"/>
      <c r="AC137" s="71"/>
      <c r="AD137" s="75"/>
      <c r="AE137" s="26"/>
      <c r="AF137" s="75" t="e">
        <f>AC137*#REF!</f>
        <v>#REF!</v>
      </c>
      <c r="AG137" s="82"/>
      <c r="AH137" s="83"/>
      <c r="AI137" s="20"/>
      <c r="AJ137" s="67"/>
      <c r="AK137" s="84"/>
      <c r="AL137" s="85"/>
    </row>
    <row r="138" s="1" customFormat="1" ht="18" customHeight="1" spans="1:38">
      <c r="A138" s="67"/>
      <c r="B138" s="67"/>
      <c r="C138" s="69"/>
      <c r="D138" s="69"/>
      <c r="E138" s="69"/>
      <c r="F138" s="69"/>
      <c r="G138" s="67"/>
      <c r="H138" s="67"/>
      <c r="I138" s="67"/>
      <c r="J138" s="20"/>
      <c r="K138" s="25"/>
      <c r="L138" s="71"/>
      <c r="M138" s="72"/>
      <c r="N138" s="71"/>
      <c r="O138" s="82"/>
      <c r="P138" s="71"/>
      <c r="Q138" s="91"/>
      <c r="R138" s="71"/>
      <c r="S138" s="75"/>
      <c r="T138" s="91"/>
      <c r="U138" s="71"/>
      <c r="V138" s="91"/>
      <c r="W138" s="71"/>
      <c r="X138" s="72"/>
      <c r="Y138" s="71"/>
      <c r="Z138" s="72"/>
      <c r="AA138" s="27"/>
      <c r="AB138" s="72"/>
      <c r="AC138" s="71"/>
      <c r="AD138" s="75"/>
      <c r="AE138" s="26"/>
      <c r="AF138" s="75" t="e">
        <f>AC138*#REF!</f>
        <v>#REF!</v>
      </c>
      <c r="AG138" s="82"/>
      <c r="AH138" s="83"/>
      <c r="AI138" s="20"/>
      <c r="AJ138" s="67"/>
      <c r="AK138" s="84"/>
      <c r="AL138" s="85"/>
    </row>
    <row r="139" s="1" customFormat="1" ht="18" customHeight="1" spans="1:38">
      <c r="A139" s="67"/>
      <c r="B139" s="67"/>
      <c r="C139" s="69"/>
      <c r="D139" s="69"/>
      <c r="E139" s="69"/>
      <c r="F139" s="69"/>
      <c r="G139" s="67"/>
      <c r="H139" s="67"/>
      <c r="I139" s="67"/>
      <c r="J139" s="20"/>
      <c r="K139" s="25"/>
      <c r="L139" s="71"/>
      <c r="M139" s="72"/>
      <c r="N139" s="71"/>
      <c r="O139" s="82"/>
      <c r="P139" s="71"/>
      <c r="Q139" s="91"/>
      <c r="R139" s="71"/>
      <c r="S139" s="75"/>
      <c r="T139" s="91"/>
      <c r="U139" s="71"/>
      <c r="V139" s="91"/>
      <c r="W139" s="71"/>
      <c r="X139" s="72"/>
      <c r="Y139" s="71"/>
      <c r="Z139" s="72"/>
      <c r="AA139" s="27"/>
      <c r="AB139" s="72"/>
      <c r="AC139" s="71"/>
      <c r="AD139" s="75"/>
      <c r="AE139" s="26"/>
      <c r="AF139" s="75" t="e">
        <f>AC139*#REF!</f>
        <v>#REF!</v>
      </c>
      <c r="AG139" s="82"/>
      <c r="AH139" s="83"/>
      <c r="AI139" s="20"/>
      <c r="AJ139" s="67"/>
      <c r="AK139" s="84"/>
      <c r="AL139" s="85"/>
    </row>
    <row r="140" s="1" customFormat="1" ht="18" customHeight="1" spans="1:38">
      <c r="A140" s="67"/>
      <c r="B140" s="67"/>
      <c r="C140" s="69"/>
      <c r="D140" s="69"/>
      <c r="E140" s="69"/>
      <c r="F140" s="69"/>
      <c r="G140" s="67"/>
      <c r="H140" s="67"/>
      <c r="I140" s="67"/>
      <c r="J140" s="20"/>
      <c r="K140" s="25"/>
      <c r="L140" s="71"/>
      <c r="M140" s="72"/>
      <c r="N140" s="71"/>
      <c r="O140" s="82"/>
      <c r="P140" s="71"/>
      <c r="Q140" s="91"/>
      <c r="R140" s="71"/>
      <c r="S140" s="75"/>
      <c r="T140" s="91"/>
      <c r="U140" s="71"/>
      <c r="V140" s="91"/>
      <c r="W140" s="71"/>
      <c r="X140" s="72"/>
      <c r="Y140" s="71"/>
      <c r="Z140" s="72"/>
      <c r="AA140" s="27"/>
      <c r="AB140" s="72"/>
      <c r="AC140" s="71"/>
      <c r="AD140" s="75"/>
      <c r="AE140" s="26"/>
      <c r="AF140" s="75" t="e">
        <f>AC140*#REF!</f>
        <v>#REF!</v>
      </c>
      <c r="AG140" s="82"/>
      <c r="AH140" s="83"/>
      <c r="AI140" s="20"/>
      <c r="AJ140" s="67"/>
      <c r="AK140" s="84"/>
      <c r="AL140" s="85"/>
    </row>
    <row r="141" s="1" customFormat="1" ht="18" customHeight="1" spans="1:38">
      <c r="A141" s="67"/>
      <c r="B141" s="67"/>
      <c r="C141" s="69"/>
      <c r="D141" s="69"/>
      <c r="E141" s="69"/>
      <c r="F141" s="69"/>
      <c r="G141" s="67"/>
      <c r="H141" s="67"/>
      <c r="I141" s="67"/>
      <c r="J141" s="20"/>
      <c r="K141" s="25"/>
      <c r="L141" s="71"/>
      <c r="M141" s="72"/>
      <c r="N141" s="71"/>
      <c r="O141" s="82"/>
      <c r="P141" s="71"/>
      <c r="Q141" s="91"/>
      <c r="R141" s="71"/>
      <c r="S141" s="75"/>
      <c r="T141" s="91"/>
      <c r="U141" s="71"/>
      <c r="V141" s="91"/>
      <c r="W141" s="71"/>
      <c r="X141" s="72"/>
      <c r="Y141" s="71"/>
      <c r="Z141" s="72"/>
      <c r="AA141" s="27"/>
      <c r="AB141" s="72"/>
      <c r="AC141" s="71"/>
      <c r="AD141" s="75"/>
      <c r="AE141" s="26"/>
      <c r="AF141" s="75" t="e">
        <f>AC141*#REF!</f>
        <v>#REF!</v>
      </c>
      <c r="AG141" s="82"/>
      <c r="AH141" s="83"/>
      <c r="AI141" s="20"/>
      <c r="AJ141" s="67"/>
      <c r="AK141" s="84"/>
      <c r="AL141" s="85"/>
    </row>
    <row r="142" s="1" customFormat="1" ht="18" customHeight="1" spans="1:38">
      <c r="A142" s="67"/>
      <c r="B142" s="67"/>
      <c r="C142" s="69"/>
      <c r="D142" s="69"/>
      <c r="E142" s="69"/>
      <c r="F142" s="69"/>
      <c r="G142" s="67"/>
      <c r="H142" s="67"/>
      <c r="I142" s="67"/>
      <c r="J142" s="20"/>
      <c r="K142" s="25"/>
      <c r="L142" s="71"/>
      <c r="M142" s="72"/>
      <c r="N142" s="71"/>
      <c r="O142" s="82"/>
      <c r="P142" s="71"/>
      <c r="Q142" s="91"/>
      <c r="R142" s="71"/>
      <c r="S142" s="75"/>
      <c r="T142" s="91"/>
      <c r="U142" s="71"/>
      <c r="V142" s="91"/>
      <c r="W142" s="71"/>
      <c r="X142" s="72"/>
      <c r="Y142" s="71"/>
      <c r="Z142" s="72"/>
      <c r="AA142" s="27"/>
      <c r="AB142" s="72"/>
      <c r="AC142" s="71"/>
      <c r="AD142" s="75"/>
      <c r="AE142" s="26"/>
      <c r="AF142" s="75" t="e">
        <f>AC142*#REF!</f>
        <v>#REF!</v>
      </c>
      <c r="AG142" s="82"/>
      <c r="AH142" s="83"/>
      <c r="AI142" s="20"/>
      <c r="AJ142" s="67"/>
      <c r="AK142" s="84"/>
      <c r="AL142" s="85"/>
    </row>
    <row r="143" s="1" customFormat="1" ht="18" customHeight="1" spans="1:38">
      <c r="A143" s="67"/>
      <c r="B143" s="67"/>
      <c r="C143" s="69"/>
      <c r="D143" s="69"/>
      <c r="E143" s="69"/>
      <c r="F143" s="69"/>
      <c r="G143" s="67"/>
      <c r="H143" s="67"/>
      <c r="I143" s="67"/>
      <c r="J143" s="20"/>
      <c r="K143" s="25"/>
      <c r="L143" s="71"/>
      <c r="M143" s="72"/>
      <c r="N143" s="71"/>
      <c r="O143" s="82"/>
      <c r="P143" s="71"/>
      <c r="Q143" s="91"/>
      <c r="R143" s="71"/>
      <c r="S143" s="75"/>
      <c r="T143" s="91"/>
      <c r="U143" s="71"/>
      <c r="V143" s="91"/>
      <c r="W143" s="71"/>
      <c r="X143" s="72"/>
      <c r="Y143" s="71"/>
      <c r="Z143" s="72"/>
      <c r="AA143" s="27"/>
      <c r="AB143" s="72"/>
      <c r="AC143" s="71"/>
      <c r="AD143" s="75"/>
      <c r="AE143" s="26"/>
      <c r="AF143" s="75" t="e">
        <f>AC143*#REF!</f>
        <v>#REF!</v>
      </c>
      <c r="AG143" s="82"/>
      <c r="AH143" s="83"/>
      <c r="AI143" s="20"/>
      <c r="AJ143" s="67"/>
      <c r="AK143" s="84"/>
      <c r="AL143" s="85"/>
    </row>
    <row r="144" s="1" customFormat="1" ht="18" customHeight="1" spans="1:38">
      <c r="A144" s="67"/>
      <c r="B144" s="67"/>
      <c r="C144" s="69"/>
      <c r="D144" s="69"/>
      <c r="E144" s="69"/>
      <c r="F144" s="69"/>
      <c r="G144" s="67"/>
      <c r="H144" s="67"/>
      <c r="I144" s="67"/>
      <c r="J144" s="20"/>
      <c r="K144" s="25"/>
      <c r="L144" s="71"/>
      <c r="M144" s="72"/>
      <c r="N144" s="71"/>
      <c r="O144" s="82"/>
      <c r="P144" s="71"/>
      <c r="Q144" s="91"/>
      <c r="R144" s="71"/>
      <c r="S144" s="75"/>
      <c r="T144" s="91"/>
      <c r="U144" s="71"/>
      <c r="V144" s="91"/>
      <c r="W144" s="71"/>
      <c r="X144" s="72"/>
      <c r="Y144" s="71"/>
      <c r="Z144" s="72"/>
      <c r="AA144" s="27"/>
      <c r="AB144" s="72"/>
      <c r="AC144" s="71"/>
      <c r="AD144" s="75"/>
      <c r="AE144" s="26"/>
      <c r="AF144" s="75" t="e">
        <f>AC144*#REF!</f>
        <v>#REF!</v>
      </c>
      <c r="AG144" s="82"/>
      <c r="AH144" s="83"/>
      <c r="AI144" s="20"/>
      <c r="AJ144" s="67"/>
      <c r="AK144" s="84"/>
      <c r="AL144" s="85"/>
    </row>
    <row r="145" s="1" customFormat="1" ht="18" customHeight="1" spans="1:38">
      <c r="A145" s="67"/>
      <c r="B145" s="67"/>
      <c r="C145" s="69"/>
      <c r="D145" s="69"/>
      <c r="E145" s="69"/>
      <c r="F145" s="69"/>
      <c r="G145" s="67"/>
      <c r="H145" s="67"/>
      <c r="I145" s="67"/>
      <c r="J145" s="20"/>
      <c r="K145" s="25"/>
      <c r="L145" s="71"/>
      <c r="M145" s="72"/>
      <c r="N145" s="71"/>
      <c r="O145" s="82"/>
      <c r="P145" s="71"/>
      <c r="Q145" s="91"/>
      <c r="R145" s="71"/>
      <c r="S145" s="75"/>
      <c r="T145" s="91"/>
      <c r="U145" s="71"/>
      <c r="V145" s="91"/>
      <c r="W145" s="71"/>
      <c r="X145" s="72"/>
      <c r="Y145" s="71"/>
      <c r="Z145" s="72"/>
      <c r="AA145" s="27"/>
      <c r="AB145" s="72"/>
      <c r="AC145" s="71"/>
      <c r="AD145" s="75"/>
      <c r="AE145" s="26"/>
      <c r="AF145" s="75" t="e">
        <f>AC145*#REF!</f>
        <v>#REF!</v>
      </c>
      <c r="AG145" s="82"/>
      <c r="AH145" s="83"/>
      <c r="AI145" s="20"/>
      <c r="AJ145" s="67"/>
      <c r="AK145" s="84"/>
      <c r="AL145" s="85"/>
    </row>
    <row r="146" s="1" customFormat="1" ht="18" customHeight="1" spans="1:38">
      <c r="A146" s="67"/>
      <c r="B146" s="67"/>
      <c r="C146" s="69"/>
      <c r="D146" s="69"/>
      <c r="E146" s="69"/>
      <c r="F146" s="69"/>
      <c r="G146" s="67"/>
      <c r="H146" s="67"/>
      <c r="I146" s="67"/>
      <c r="J146" s="20"/>
      <c r="K146" s="25"/>
      <c r="L146" s="71"/>
      <c r="M146" s="72"/>
      <c r="N146" s="71"/>
      <c r="O146" s="82"/>
      <c r="P146" s="71"/>
      <c r="Q146" s="91"/>
      <c r="R146" s="71"/>
      <c r="S146" s="75"/>
      <c r="T146" s="91"/>
      <c r="U146" s="71"/>
      <c r="V146" s="91"/>
      <c r="W146" s="71"/>
      <c r="X146" s="72"/>
      <c r="Y146" s="71"/>
      <c r="Z146" s="72"/>
      <c r="AA146" s="27"/>
      <c r="AB146" s="72"/>
      <c r="AC146" s="71"/>
      <c r="AD146" s="75"/>
      <c r="AE146" s="26"/>
      <c r="AF146" s="75" t="e">
        <f>AC146*#REF!</f>
        <v>#REF!</v>
      </c>
      <c r="AG146" s="82"/>
      <c r="AH146" s="83"/>
      <c r="AI146" s="20"/>
      <c r="AJ146" s="67"/>
      <c r="AK146" s="84"/>
      <c r="AL146" s="85"/>
    </row>
    <row r="147" s="1" customFormat="1" ht="18" customHeight="1" spans="1:38">
      <c r="A147" s="67"/>
      <c r="B147" s="67"/>
      <c r="C147" s="69"/>
      <c r="D147" s="69"/>
      <c r="E147" s="69"/>
      <c r="F147" s="69"/>
      <c r="G147" s="67"/>
      <c r="H147" s="67"/>
      <c r="I147" s="67"/>
      <c r="J147" s="20"/>
      <c r="K147" s="25"/>
      <c r="L147" s="71"/>
      <c r="M147" s="72"/>
      <c r="N147" s="71"/>
      <c r="O147" s="82"/>
      <c r="P147" s="71"/>
      <c r="Q147" s="91"/>
      <c r="R147" s="71"/>
      <c r="S147" s="75"/>
      <c r="T147" s="91"/>
      <c r="U147" s="71"/>
      <c r="V147" s="91"/>
      <c r="W147" s="71"/>
      <c r="X147" s="72"/>
      <c r="Y147" s="71"/>
      <c r="Z147" s="72"/>
      <c r="AA147" s="27"/>
      <c r="AB147" s="72"/>
      <c r="AC147" s="71"/>
      <c r="AD147" s="75"/>
      <c r="AE147" s="26"/>
      <c r="AF147" s="75" t="e">
        <f>AC147*#REF!</f>
        <v>#REF!</v>
      </c>
      <c r="AG147" s="82"/>
      <c r="AH147" s="83"/>
      <c r="AI147" s="20"/>
      <c r="AJ147" s="67"/>
      <c r="AK147" s="84"/>
      <c r="AL147" s="85"/>
    </row>
    <row r="148" s="1" customFormat="1" ht="18" customHeight="1" spans="1:38">
      <c r="A148" s="67"/>
      <c r="B148" s="67"/>
      <c r="C148" s="69"/>
      <c r="D148" s="69"/>
      <c r="E148" s="69"/>
      <c r="F148" s="69"/>
      <c r="G148" s="67"/>
      <c r="H148" s="67"/>
      <c r="I148" s="67"/>
      <c r="J148" s="20"/>
      <c r="K148" s="25"/>
      <c r="L148" s="71"/>
      <c r="M148" s="72"/>
      <c r="N148" s="71"/>
      <c r="O148" s="82"/>
      <c r="P148" s="71"/>
      <c r="Q148" s="91"/>
      <c r="R148" s="71"/>
      <c r="S148" s="75"/>
      <c r="T148" s="91"/>
      <c r="U148" s="71"/>
      <c r="V148" s="91"/>
      <c r="W148" s="71"/>
      <c r="X148" s="72"/>
      <c r="Y148" s="71"/>
      <c r="Z148" s="72"/>
      <c r="AA148" s="27"/>
      <c r="AB148" s="72"/>
      <c r="AC148" s="71"/>
      <c r="AD148" s="75"/>
      <c r="AE148" s="26"/>
      <c r="AF148" s="75" t="e">
        <f>AC148*#REF!</f>
        <v>#REF!</v>
      </c>
      <c r="AG148" s="82"/>
      <c r="AH148" s="83"/>
      <c r="AI148" s="20"/>
      <c r="AJ148" s="67"/>
      <c r="AK148" s="84"/>
      <c r="AL148" s="85"/>
    </row>
    <row r="149" s="1" customFormat="1" ht="18" customHeight="1" spans="1:38">
      <c r="A149" s="67"/>
      <c r="B149" s="67"/>
      <c r="C149" s="69"/>
      <c r="D149" s="69"/>
      <c r="E149" s="69"/>
      <c r="F149" s="69"/>
      <c r="G149" s="67"/>
      <c r="H149" s="67"/>
      <c r="I149" s="67"/>
      <c r="J149" s="20"/>
      <c r="K149" s="25"/>
      <c r="L149" s="71"/>
      <c r="M149" s="72"/>
      <c r="N149" s="71"/>
      <c r="O149" s="82"/>
      <c r="P149" s="71"/>
      <c r="Q149" s="91"/>
      <c r="R149" s="71"/>
      <c r="S149" s="75"/>
      <c r="T149" s="91"/>
      <c r="U149" s="71"/>
      <c r="V149" s="91"/>
      <c r="W149" s="71"/>
      <c r="X149" s="72"/>
      <c r="Y149" s="71"/>
      <c r="Z149" s="72"/>
      <c r="AA149" s="27"/>
      <c r="AB149" s="72"/>
      <c r="AC149" s="71"/>
      <c r="AD149" s="75"/>
      <c r="AE149" s="26"/>
      <c r="AF149" s="75" t="e">
        <f>AC149*#REF!</f>
        <v>#REF!</v>
      </c>
      <c r="AG149" s="82"/>
      <c r="AH149" s="83"/>
      <c r="AI149" s="20"/>
      <c r="AJ149" s="67"/>
      <c r="AK149" s="84"/>
      <c r="AL149" s="85"/>
    </row>
    <row r="150" s="1" customFormat="1" ht="18" customHeight="1" spans="1:38">
      <c r="A150" s="67"/>
      <c r="B150" s="67"/>
      <c r="C150" s="69"/>
      <c r="D150" s="69"/>
      <c r="E150" s="69"/>
      <c r="F150" s="69"/>
      <c r="G150" s="67"/>
      <c r="H150" s="67"/>
      <c r="I150" s="67"/>
      <c r="J150" s="20"/>
      <c r="K150" s="25"/>
      <c r="L150" s="71"/>
      <c r="M150" s="72"/>
      <c r="N150" s="71"/>
      <c r="O150" s="82"/>
      <c r="P150" s="71"/>
      <c r="Q150" s="91"/>
      <c r="R150" s="71"/>
      <c r="S150" s="75"/>
      <c r="T150" s="91"/>
      <c r="U150" s="71"/>
      <c r="V150" s="91"/>
      <c r="W150" s="71"/>
      <c r="X150" s="72"/>
      <c r="Y150" s="71"/>
      <c r="Z150" s="72"/>
      <c r="AA150" s="27"/>
      <c r="AB150" s="72"/>
      <c r="AC150" s="71"/>
      <c r="AD150" s="75"/>
      <c r="AE150" s="26"/>
      <c r="AF150" s="75" t="e">
        <f>AC150*#REF!</f>
        <v>#REF!</v>
      </c>
      <c r="AG150" s="82"/>
      <c r="AH150" s="83"/>
      <c r="AI150" s="20"/>
      <c r="AJ150" s="67"/>
      <c r="AK150" s="84"/>
      <c r="AL150" s="85"/>
    </row>
    <row r="151" s="1" customFormat="1" ht="18" customHeight="1" spans="1:38">
      <c r="A151" s="67"/>
      <c r="B151" s="67"/>
      <c r="C151" s="69"/>
      <c r="D151" s="69"/>
      <c r="E151" s="69"/>
      <c r="F151" s="69"/>
      <c r="G151" s="67"/>
      <c r="H151" s="67"/>
      <c r="I151" s="67"/>
      <c r="J151" s="20"/>
      <c r="K151" s="25"/>
      <c r="L151" s="71"/>
      <c r="M151" s="72"/>
      <c r="N151" s="71"/>
      <c r="O151" s="82"/>
      <c r="P151" s="71"/>
      <c r="Q151" s="91"/>
      <c r="R151" s="71"/>
      <c r="S151" s="75"/>
      <c r="T151" s="91"/>
      <c r="U151" s="71"/>
      <c r="V151" s="91"/>
      <c r="W151" s="71"/>
      <c r="X151" s="72"/>
      <c r="Y151" s="71"/>
      <c r="Z151" s="72"/>
      <c r="AA151" s="27"/>
      <c r="AB151" s="72"/>
      <c r="AC151" s="71"/>
      <c r="AD151" s="75"/>
      <c r="AE151" s="26"/>
      <c r="AF151" s="75" t="e">
        <f>AC151*#REF!</f>
        <v>#REF!</v>
      </c>
      <c r="AG151" s="82"/>
      <c r="AH151" s="83"/>
      <c r="AI151" s="20"/>
      <c r="AJ151" s="67"/>
      <c r="AK151" s="84"/>
      <c r="AL151" s="85"/>
    </row>
    <row r="152" s="1" customFormat="1" ht="18" customHeight="1" spans="1:38">
      <c r="A152" s="67"/>
      <c r="B152" s="67"/>
      <c r="C152" s="69"/>
      <c r="D152" s="69"/>
      <c r="E152" s="69"/>
      <c r="F152" s="69"/>
      <c r="G152" s="67"/>
      <c r="H152" s="67"/>
      <c r="I152" s="67"/>
      <c r="J152" s="20"/>
      <c r="K152" s="25"/>
      <c r="L152" s="71"/>
      <c r="M152" s="72"/>
      <c r="N152" s="71"/>
      <c r="O152" s="82"/>
      <c r="P152" s="71"/>
      <c r="Q152" s="91"/>
      <c r="R152" s="71"/>
      <c r="S152" s="75"/>
      <c r="T152" s="91"/>
      <c r="U152" s="71"/>
      <c r="V152" s="91"/>
      <c r="W152" s="71"/>
      <c r="X152" s="72"/>
      <c r="Y152" s="71"/>
      <c r="Z152" s="72"/>
      <c r="AA152" s="27"/>
      <c r="AB152" s="72"/>
      <c r="AC152" s="71"/>
      <c r="AD152" s="75"/>
      <c r="AE152" s="26"/>
      <c r="AF152" s="75" t="e">
        <f>AC152*#REF!</f>
        <v>#REF!</v>
      </c>
      <c r="AG152" s="82"/>
      <c r="AH152" s="83"/>
      <c r="AI152" s="20"/>
      <c r="AJ152" s="67"/>
      <c r="AK152" s="84"/>
      <c r="AL152" s="85"/>
    </row>
    <row r="153" s="1" customFormat="1" ht="18" customHeight="1" spans="1:38">
      <c r="A153" s="67"/>
      <c r="B153" s="67"/>
      <c r="C153" s="69"/>
      <c r="D153" s="69"/>
      <c r="E153" s="69"/>
      <c r="F153" s="69"/>
      <c r="G153" s="67"/>
      <c r="H153" s="67"/>
      <c r="I153" s="67"/>
      <c r="J153" s="20"/>
      <c r="K153" s="25"/>
      <c r="L153" s="71"/>
      <c r="M153" s="72"/>
      <c r="N153" s="71"/>
      <c r="O153" s="82"/>
      <c r="P153" s="71"/>
      <c r="Q153" s="91"/>
      <c r="R153" s="71"/>
      <c r="S153" s="75"/>
      <c r="T153" s="91"/>
      <c r="U153" s="71"/>
      <c r="V153" s="91"/>
      <c r="W153" s="71"/>
      <c r="X153" s="72"/>
      <c r="Y153" s="71"/>
      <c r="Z153" s="72"/>
      <c r="AA153" s="27"/>
      <c r="AB153" s="72"/>
      <c r="AC153" s="71"/>
      <c r="AD153" s="75"/>
      <c r="AE153" s="26"/>
      <c r="AF153" s="75" t="e">
        <f>AC153*#REF!</f>
        <v>#REF!</v>
      </c>
      <c r="AG153" s="82"/>
      <c r="AH153" s="83"/>
      <c r="AI153" s="20"/>
      <c r="AJ153" s="67"/>
      <c r="AK153" s="84"/>
      <c r="AL153" s="85"/>
    </row>
    <row r="154" s="1" customFormat="1" ht="18" customHeight="1" spans="1:38">
      <c r="A154" s="67"/>
      <c r="B154" s="67"/>
      <c r="C154" s="69"/>
      <c r="D154" s="69"/>
      <c r="E154" s="69"/>
      <c r="F154" s="69"/>
      <c r="G154" s="67"/>
      <c r="H154" s="67"/>
      <c r="I154" s="67"/>
      <c r="J154" s="20"/>
      <c r="K154" s="25"/>
      <c r="L154" s="71"/>
      <c r="M154" s="72"/>
      <c r="N154" s="71"/>
      <c r="O154" s="82"/>
      <c r="P154" s="71"/>
      <c r="Q154" s="91"/>
      <c r="R154" s="71"/>
      <c r="S154" s="75"/>
      <c r="T154" s="91"/>
      <c r="U154" s="71"/>
      <c r="V154" s="91"/>
      <c r="W154" s="71"/>
      <c r="X154" s="72"/>
      <c r="Y154" s="71"/>
      <c r="Z154" s="72"/>
      <c r="AA154" s="27"/>
      <c r="AB154" s="72"/>
      <c r="AC154" s="71"/>
      <c r="AD154" s="75"/>
      <c r="AE154" s="26"/>
      <c r="AF154" s="75" t="e">
        <f>AC154*#REF!</f>
        <v>#REF!</v>
      </c>
      <c r="AG154" s="82"/>
      <c r="AH154" s="83"/>
      <c r="AI154" s="20"/>
      <c r="AJ154" s="67"/>
      <c r="AK154" s="84"/>
      <c r="AL154" s="85"/>
    </row>
    <row r="155" s="1" customFormat="1" ht="18" customHeight="1" spans="1:38">
      <c r="A155" s="67"/>
      <c r="B155" s="67"/>
      <c r="C155" s="69"/>
      <c r="D155" s="69"/>
      <c r="E155" s="69"/>
      <c r="F155" s="69"/>
      <c r="G155" s="67"/>
      <c r="H155" s="67"/>
      <c r="I155" s="67"/>
      <c r="J155" s="20"/>
      <c r="K155" s="25"/>
      <c r="L155" s="71"/>
      <c r="M155" s="72"/>
      <c r="N155" s="71"/>
      <c r="O155" s="82"/>
      <c r="P155" s="71"/>
      <c r="Q155" s="91"/>
      <c r="R155" s="71"/>
      <c r="S155" s="75"/>
      <c r="T155" s="91"/>
      <c r="U155" s="71"/>
      <c r="V155" s="91"/>
      <c r="W155" s="71"/>
      <c r="X155" s="72"/>
      <c r="Y155" s="71"/>
      <c r="Z155" s="72"/>
      <c r="AA155" s="27"/>
      <c r="AB155" s="72"/>
      <c r="AC155" s="71"/>
      <c r="AD155" s="75"/>
      <c r="AE155" s="26"/>
      <c r="AF155" s="75" t="e">
        <f>AC155*#REF!</f>
        <v>#REF!</v>
      </c>
      <c r="AG155" s="82"/>
      <c r="AH155" s="83"/>
      <c r="AI155" s="20"/>
      <c r="AJ155" s="67"/>
      <c r="AK155" s="84"/>
      <c r="AL155" s="85"/>
    </row>
    <row r="156" s="1" customFormat="1" ht="16.5" spans="1:38">
      <c r="A156" s="176"/>
      <c r="B156" s="176"/>
      <c r="C156" s="177"/>
      <c r="D156" s="177"/>
      <c r="E156" s="177"/>
      <c r="F156" s="177"/>
      <c r="G156" s="176"/>
      <c r="H156" s="176"/>
      <c r="I156" s="176"/>
      <c r="K156" s="178"/>
      <c r="L156" s="179"/>
      <c r="M156" s="180"/>
      <c r="N156" s="179"/>
      <c r="O156" s="181"/>
      <c r="P156" s="179"/>
      <c r="Q156" s="182"/>
      <c r="R156" s="179"/>
      <c r="S156" s="183"/>
      <c r="T156" s="182"/>
      <c r="U156" s="179"/>
      <c r="V156" s="182"/>
      <c r="W156" s="179"/>
      <c r="X156" s="180"/>
      <c r="Y156" s="179"/>
      <c r="Z156" s="72"/>
      <c r="AA156" s="184"/>
      <c r="AB156" s="180"/>
      <c r="AC156" s="179"/>
      <c r="AD156" s="183"/>
      <c r="AE156" s="185"/>
      <c r="AF156" s="183"/>
      <c r="AG156" s="181"/>
      <c r="AH156" s="186"/>
      <c r="AJ156" s="176"/>
      <c r="AK156" s="187"/>
      <c r="AL156" s="85"/>
    </row>
    <row r="157" s="1" customFormat="1" spans="1:38">
      <c r="A157" s="176"/>
      <c r="B157" s="176"/>
      <c r="C157" s="177"/>
      <c r="D157" s="177"/>
      <c r="E157" s="177"/>
      <c r="F157" s="177"/>
      <c r="G157" s="176"/>
      <c r="H157" s="176"/>
      <c r="I157" s="176"/>
      <c r="K157" s="178"/>
      <c r="L157" s="179"/>
      <c r="M157" s="180"/>
      <c r="N157" s="179"/>
      <c r="O157" s="181"/>
      <c r="P157" s="179"/>
      <c r="Q157" s="182"/>
      <c r="R157" s="179"/>
      <c r="S157" s="183"/>
      <c r="T157" s="182"/>
      <c r="U157" s="179"/>
      <c r="V157" s="182"/>
      <c r="W157" s="179"/>
      <c r="X157" s="180"/>
      <c r="Y157" s="179"/>
      <c r="Z157" s="180"/>
      <c r="AA157" s="184"/>
      <c r="AB157" s="180"/>
      <c r="AC157" s="179"/>
      <c r="AD157" s="183"/>
      <c r="AE157" s="185"/>
      <c r="AF157" s="183"/>
      <c r="AG157" s="181"/>
      <c r="AH157" s="186"/>
      <c r="AJ157" s="176"/>
      <c r="AK157" s="187"/>
      <c r="AL157" s="85"/>
    </row>
    <row r="158" s="1" customFormat="1" spans="1:38">
      <c r="A158" s="176"/>
      <c r="B158" s="176"/>
      <c r="C158" s="177"/>
      <c r="D158" s="177"/>
      <c r="E158" s="177"/>
      <c r="F158" s="177"/>
      <c r="G158" s="176"/>
      <c r="H158" s="176"/>
      <c r="I158" s="176"/>
      <c r="K158" s="178"/>
      <c r="L158" s="179"/>
      <c r="M158" s="180"/>
      <c r="N158" s="179"/>
      <c r="O158" s="181"/>
      <c r="P158" s="179"/>
      <c r="Q158" s="182"/>
      <c r="R158" s="179"/>
      <c r="S158" s="183"/>
      <c r="T158" s="182"/>
      <c r="U158" s="179"/>
      <c r="V158" s="182"/>
      <c r="W158" s="179"/>
      <c r="X158" s="180"/>
      <c r="Y158" s="179"/>
      <c r="Z158" s="180"/>
      <c r="AA158" s="184"/>
      <c r="AB158" s="180"/>
      <c r="AC158" s="179"/>
      <c r="AD158" s="183"/>
      <c r="AE158" s="185"/>
      <c r="AF158" s="183"/>
      <c r="AG158" s="181"/>
      <c r="AH158" s="186"/>
      <c r="AJ158" s="176"/>
      <c r="AK158" s="187"/>
      <c r="AL158" s="85"/>
    </row>
    <row r="159" s="1" customFormat="1" spans="1:38">
      <c r="A159" s="176"/>
      <c r="B159" s="176"/>
      <c r="C159" s="177"/>
      <c r="D159" s="177"/>
      <c r="E159" s="177"/>
      <c r="F159" s="177"/>
      <c r="G159" s="176"/>
      <c r="H159" s="176"/>
      <c r="I159" s="176"/>
      <c r="K159" s="178"/>
      <c r="L159" s="179"/>
      <c r="M159" s="180"/>
      <c r="N159" s="179"/>
      <c r="O159" s="181"/>
      <c r="P159" s="179"/>
      <c r="Q159" s="182"/>
      <c r="R159" s="179"/>
      <c r="S159" s="183"/>
      <c r="T159" s="182"/>
      <c r="U159" s="179"/>
      <c r="V159" s="182"/>
      <c r="W159" s="179"/>
      <c r="X159" s="180"/>
      <c r="Y159" s="179"/>
      <c r="Z159" s="180"/>
      <c r="AA159" s="184"/>
      <c r="AB159" s="180"/>
      <c r="AC159" s="179"/>
      <c r="AD159" s="183"/>
      <c r="AE159" s="185"/>
      <c r="AF159" s="183"/>
      <c r="AG159" s="181"/>
      <c r="AH159" s="186"/>
      <c r="AJ159" s="176"/>
      <c r="AK159" s="187"/>
      <c r="AL159" s="85"/>
    </row>
    <row r="160" s="1" customFormat="1" spans="1:38">
      <c r="A160" s="176"/>
      <c r="B160" s="176"/>
      <c r="C160" s="177"/>
      <c r="D160" s="177"/>
      <c r="E160" s="177"/>
      <c r="F160" s="177"/>
      <c r="G160" s="176"/>
      <c r="H160" s="176"/>
      <c r="I160" s="176"/>
      <c r="K160" s="178"/>
      <c r="L160" s="179"/>
      <c r="M160" s="180"/>
      <c r="N160" s="179"/>
      <c r="O160" s="181"/>
      <c r="P160" s="179"/>
      <c r="Q160" s="182"/>
      <c r="R160" s="179"/>
      <c r="S160" s="183"/>
      <c r="T160" s="182"/>
      <c r="U160" s="179"/>
      <c r="V160" s="182"/>
      <c r="W160" s="179"/>
      <c r="X160" s="180"/>
      <c r="Y160" s="179"/>
      <c r="Z160" s="180"/>
      <c r="AA160" s="184"/>
      <c r="AB160" s="180"/>
      <c r="AC160" s="179"/>
      <c r="AD160" s="183"/>
      <c r="AE160" s="185"/>
      <c r="AF160" s="183"/>
      <c r="AG160" s="181"/>
      <c r="AH160" s="186"/>
      <c r="AJ160" s="176"/>
      <c r="AK160" s="187"/>
      <c r="AL160" s="85"/>
    </row>
    <row r="161" s="1" customFormat="1" spans="1:38">
      <c r="A161" s="176"/>
      <c r="B161" s="176"/>
      <c r="C161" s="177"/>
      <c r="D161" s="177"/>
      <c r="E161" s="177"/>
      <c r="F161" s="177"/>
      <c r="G161" s="176"/>
      <c r="H161" s="176"/>
      <c r="I161" s="176"/>
      <c r="K161" s="178"/>
      <c r="L161" s="179"/>
      <c r="M161" s="180"/>
      <c r="N161" s="179"/>
      <c r="O161" s="181"/>
      <c r="P161" s="179"/>
      <c r="Q161" s="182"/>
      <c r="R161" s="179"/>
      <c r="S161" s="183"/>
      <c r="T161" s="182"/>
      <c r="U161" s="179"/>
      <c r="V161" s="182"/>
      <c r="W161" s="179"/>
      <c r="X161" s="180"/>
      <c r="Y161" s="179"/>
      <c r="Z161" s="180"/>
      <c r="AA161" s="184"/>
      <c r="AB161" s="180"/>
      <c r="AC161" s="179"/>
      <c r="AD161" s="183"/>
      <c r="AE161" s="185"/>
      <c r="AF161" s="183"/>
      <c r="AG161" s="181"/>
      <c r="AH161" s="186"/>
      <c r="AJ161" s="176"/>
      <c r="AK161" s="187"/>
      <c r="AL161" s="85"/>
    </row>
    <row r="162" s="1" customFormat="1" spans="1:38">
      <c r="A162" s="176"/>
      <c r="B162" s="176"/>
      <c r="C162" s="177"/>
      <c r="D162" s="177"/>
      <c r="E162" s="177"/>
      <c r="F162" s="177"/>
      <c r="G162" s="176"/>
      <c r="H162" s="176"/>
      <c r="I162" s="176"/>
      <c r="K162" s="178"/>
      <c r="L162" s="179"/>
      <c r="M162" s="180"/>
      <c r="N162" s="179"/>
      <c r="O162" s="181"/>
      <c r="P162" s="179"/>
      <c r="Q162" s="182"/>
      <c r="R162" s="179"/>
      <c r="S162" s="183"/>
      <c r="T162" s="182"/>
      <c r="U162" s="179"/>
      <c r="V162" s="182"/>
      <c r="W162" s="179"/>
      <c r="X162" s="180"/>
      <c r="Y162" s="179"/>
      <c r="Z162" s="180"/>
      <c r="AA162" s="184"/>
      <c r="AB162" s="180"/>
      <c r="AC162" s="179"/>
      <c r="AD162" s="183"/>
      <c r="AE162" s="185"/>
      <c r="AF162" s="183"/>
      <c r="AG162" s="181"/>
      <c r="AH162" s="186"/>
      <c r="AJ162" s="176"/>
      <c r="AK162" s="187"/>
      <c r="AL162" s="85"/>
    </row>
    <row r="163" s="1" customFormat="1" spans="1:38">
      <c r="A163" s="176"/>
      <c r="B163" s="176"/>
      <c r="C163" s="177"/>
      <c r="D163" s="177"/>
      <c r="E163" s="177"/>
      <c r="F163" s="177"/>
      <c r="G163" s="176"/>
      <c r="H163" s="176"/>
      <c r="I163" s="176"/>
      <c r="K163" s="178"/>
      <c r="L163" s="179"/>
      <c r="M163" s="180"/>
      <c r="N163" s="179"/>
      <c r="O163" s="181"/>
      <c r="P163" s="179"/>
      <c r="Q163" s="182"/>
      <c r="R163" s="179"/>
      <c r="S163" s="183"/>
      <c r="T163" s="182"/>
      <c r="U163" s="179"/>
      <c r="V163" s="182"/>
      <c r="W163" s="179"/>
      <c r="X163" s="180"/>
      <c r="Y163" s="179"/>
      <c r="Z163" s="180"/>
      <c r="AA163" s="184"/>
      <c r="AB163" s="180"/>
      <c r="AC163" s="179"/>
      <c r="AD163" s="183"/>
      <c r="AE163" s="185"/>
      <c r="AF163" s="183"/>
      <c r="AG163" s="181"/>
      <c r="AH163" s="186"/>
      <c r="AJ163" s="176"/>
      <c r="AK163" s="187"/>
      <c r="AL163" s="85"/>
    </row>
    <row r="164" s="1" customFormat="1" spans="1:38">
      <c r="A164" s="176"/>
      <c r="B164" s="176"/>
      <c r="C164" s="177"/>
      <c r="D164" s="177"/>
      <c r="E164" s="177"/>
      <c r="F164" s="177"/>
      <c r="G164" s="176"/>
      <c r="H164" s="176"/>
      <c r="I164" s="176"/>
      <c r="K164" s="178"/>
      <c r="L164" s="179"/>
      <c r="M164" s="180"/>
      <c r="N164" s="179"/>
      <c r="O164" s="181"/>
      <c r="P164" s="179"/>
      <c r="Q164" s="182"/>
      <c r="R164" s="179"/>
      <c r="S164" s="183"/>
      <c r="T164" s="182"/>
      <c r="U164" s="179"/>
      <c r="V164" s="182"/>
      <c r="W164" s="179"/>
      <c r="X164" s="180"/>
      <c r="Y164" s="179"/>
      <c r="Z164" s="180"/>
      <c r="AA164" s="184"/>
      <c r="AB164" s="180"/>
      <c r="AC164" s="179"/>
      <c r="AD164" s="183"/>
      <c r="AE164" s="185"/>
      <c r="AF164" s="183"/>
      <c r="AG164" s="181"/>
      <c r="AH164" s="186"/>
      <c r="AJ164" s="176"/>
      <c r="AK164" s="187"/>
      <c r="AL164" s="85"/>
    </row>
    <row r="165" s="1" customFormat="1" spans="1:38">
      <c r="A165" s="176"/>
      <c r="B165" s="176"/>
      <c r="C165" s="177"/>
      <c r="D165" s="177"/>
      <c r="E165" s="177"/>
      <c r="F165" s="177"/>
      <c r="G165" s="176"/>
      <c r="H165" s="176"/>
      <c r="I165" s="176"/>
      <c r="K165" s="178"/>
      <c r="L165" s="179"/>
      <c r="M165" s="180"/>
      <c r="N165" s="179"/>
      <c r="O165" s="181"/>
      <c r="P165" s="179"/>
      <c r="Q165" s="182"/>
      <c r="R165" s="179"/>
      <c r="S165" s="183"/>
      <c r="T165" s="182"/>
      <c r="U165" s="179"/>
      <c r="V165" s="182"/>
      <c r="W165" s="179"/>
      <c r="X165" s="180"/>
      <c r="Y165" s="179"/>
      <c r="Z165" s="180"/>
      <c r="AA165" s="184"/>
      <c r="AB165" s="180"/>
      <c r="AC165" s="179"/>
      <c r="AD165" s="183"/>
      <c r="AE165" s="185"/>
      <c r="AF165" s="183"/>
      <c r="AG165" s="181"/>
      <c r="AH165" s="186"/>
      <c r="AJ165" s="176"/>
      <c r="AK165" s="187"/>
      <c r="AL165" s="85"/>
    </row>
    <row r="166" s="1" customFormat="1" spans="1:38">
      <c r="A166" s="176"/>
      <c r="B166" s="176"/>
      <c r="C166" s="177"/>
      <c r="D166" s="177"/>
      <c r="E166" s="177"/>
      <c r="F166" s="177"/>
      <c r="G166" s="176"/>
      <c r="H166" s="176"/>
      <c r="I166" s="176"/>
      <c r="K166" s="178"/>
      <c r="L166" s="179"/>
      <c r="M166" s="180"/>
      <c r="N166" s="179"/>
      <c r="O166" s="181"/>
      <c r="P166" s="179"/>
      <c r="Q166" s="182"/>
      <c r="R166" s="179"/>
      <c r="S166" s="183"/>
      <c r="T166" s="182"/>
      <c r="U166" s="179"/>
      <c r="V166" s="182"/>
      <c r="W166" s="179"/>
      <c r="X166" s="180"/>
      <c r="Y166" s="179"/>
      <c r="Z166" s="180"/>
      <c r="AA166" s="184"/>
      <c r="AB166" s="180"/>
      <c r="AC166" s="179"/>
      <c r="AD166" s="183"/>
      <c r="AE166" s="185"/>
      <c r="AF166" s="183"/>
      <c r="AG166" s="181"/>
      <c r="AH166" s="186"/>
      <c r="AJ166" s="176"/>
      <c r="AK166" s="187"/>
      <c r="AL166" s="85"/>
    </row>
    <row r="167" s="1" customFormat="1" spans="1:38">
      <c r="A167" s="176"/>
      <c r="B167" s="176"/>
      <c r="C167" s="177"/>
      <c r="D167" s="177"/>
      <c r="E167" s="177"/>
      <c r="F167" s="177"/>
      <c r="G167" s="176"/>
      <c r="H167" s="176"/>
      <c r="I167" s="176"/>
      <c r="K167" s="178"/>
      <c r="L167" s="179"/>
      <c r="M167" s="180"/>
      <c r="N167" s="179"/>
      <c r="O167" s="181"/>
      <c r="P167" s="179"/>
      <c r="Q167" s="182"/>
      <c r="R167" s="179"/>
      <c r="S167" s="183"/>
      <c r="T167" s="182"/>
      <c r="U167" s="179"/>
      <c r="V167" s="182"/>
      <c r="W167" s="179"/>
      <c r="X167" s="180"/>
      <c r="Y167" s="179"/>
      <c r="Z167" s="180"/>
      <c r="AA167" s="184"/>
      <c r="AB167" s="180"/>
      <c r="AC167" s="179"/>
      <c r="AD167" s="183"/>
      <c r="AE167" s="185"/>
      <c r="AF167" s="183"/>
      <c r="AG167" s="181"/>
      <c r="AH167" s="186"/>
      <c r="AJ167" s="176"/>
      <c r="AK167" s="187"/>
      <c r="AL167" s="85"/>
    </row>
    <row r="168" s="1" customFormat="1" spans="1:38">
      <c r="A168" s="176"/>
      <c r="B168" s="176"/>
      <c r="C168" s="177"/>
      <c r="D168" s="177"/>
      <c r="E168" s="177"/>
      <c r="F168" s="177"/>
      <c r="G168" s="176"/>
      <c r="H168" s="176"/>
      <c r="I168" s="176"/>
      <c r="K168" s="178"/>
      <c r="L168" s="179"/>
      <c r="M168" s="180"/>
      <c r="N168" s="179"/>
      <c r="O168" s="181"/>
      <c r="P168" s="179"/>
      <c r="Q168" s="182"/>
      <c r="R168" s="179"/>
      <c r="S168" s="183"/>
      <c r="T168" s="182"/>
      <c r="U168" s="179"/>
      <c r="V168" s="182"/>
      <c r="W168" s="179"/>
      <c r="X168" s="180"/>
      <c r="Y168" s="179"/>
      <c r="Z168" s="180"/>
      <c r="AA168" s="184"/>
      <c r="AB168" s="180"/>
      <c r="AC168" s="179"/>
      <c r="AD168" s="183"/>
      <c r="AE168" s="185"/>
      <c r="AF168" s="183"/>
      <c r="AG168" s="181"/>
      <c r="AH168" s="186"/>
      <c r="AJ168" s="176"/>
      <c r="AK168" s="187"/>
      <c r="AL168" s="85"/>
    </row>
    <row r="169" s="1" customFormat="1" spans="1:38">
      <c r="A169" s="176"/>
      <c r="B169" s="176"/>
      <c r="C169" s="177"/>
      <c r="D169" s="177"/>
      <c r="E169" s="177"/>
      <c r="F169" s="177"/>
      <c r="G169" s="176"/>
      <c r="H169" s="176"/>
      <c r="I169" s="176"/>
      <c r="K169" s="178"/>
      <c r="L169" s="179"/>
      <c r="M169" s="180"/>
      <c r="N169" s="179"/>
      <c r="O169" s="181"/>
      <c r="P169" s="179"/>
      <c r="Q169" s="182"/>
      <c r="R169" s="179"/>
      <c r="S169" s="183"/>
      <c r="T169" s="182"/>
      <c r="U169" s="179"/>
      <c r="V169" s="182"/>
      <c r="W169" s="179"/>
      <c r="X169" s="180"/>
      <c r="Y169" s="179"/>
      <c r="Z169" s="180"/>
      <c r="AA169" s="184"/>
      <c r="AB169" s="180"/>
      <c r="AC169" s="179"/>
      <c r="AD169" s="183"/>
      <c r="AE169" s="185"/>
      <c r="AF169" s="183"/>
      <c r="AG169" s="181"/>
      <c r="AH169" s="186"/>
      <c r="AJ169" s="176"/>
      <c r="AK169" s="187"/>
      <c r="AL169" s="85"/>
    </row>
    <row r="170" s="1" customFormat="1" spans="1:38">
      <c r="A170" s="176"/>
      <c r="B170" s="176"/>
      <c r="C170" s="177"/>
      <c r="D170" s="177"/>
      <c r="E170" s="177"/>
      <c r="F170" s="177"/>
      <c r="G170" s="176"/>
      <c r="H170" s="176"/>
      <c r="I170" s="176"/>
      <c r="K170" s="178"/>
      <c r="L170" s="179"/>
      <c r="M170" s="180"/>
      <c r="N170" s="179"/>
      <c r="O170" s="181"/>
      <c r="P170" s="179"/>
      <c r="Q170" s="182"/>
      <c r="R170" s="179"/>
      <c r="S170" s="183"/>
      <c r="T170" s="182"/>
      <c r="U170" s="179"/>
      <c r="V170" s="182"/>
      <c r="W170" s="179"/>
      <c r="X170" s="180"/>
      <c r="Y170" s="179"/>
      <c r="Z170" s="180"/>
      <c r="AA170" s="184"/>
      <c r="AB170" s="180"/>
      <c r="AC170" s="179"/>
      <c r="AD170" s="183"/>
      <c r="AE170" s="185"/>
      <c r="AF170" s="183"/>
      <c r="AG170" s="181"/>
      <c r="AH170" s="186"/>
      <c r="AJ170" s="176"/>
      <c r="AK170" s="187"/>
      <c r="AL170" s="85"/>
    </row>
    <row r="171" s="1" customFormat="1" spans="1:38">
      <c r="A171" s="176"/>
      <c r="B171" s="176"/>
      <c r="C171" s="177"/>
      <c r="D171" s="177"/>
      <c r="E171" s="177"/>
      <c r="F171" s="177"/>
      <c r="G171" s="176"/>
      <c r="H171" s="176"/>
      <c r="I171" s="176"/>
      <c r="K171" s="178"/>
      <c r="L171" s="179"/>
      <c r="M171" s="180"/>
      <c r="N171" s="179"/>
      <c r="O171" s="181"/>
      <c r="P171" s="179"/>
      <c r="Q171" s="182"/>
      <c r="R171" s="179"/>
      <c r="S171" s="183"/>
      <c r="T171" s="182"/>
      <c r="U171" s="179"/>
      <c r="V171" s="182"/>
      <c r="W171" s="179"/>
      <c r="X171" s="180"/>
      <c r="Y171" s="179"/>
      <c r="Z171" s="180"/>
      <c r="AA171" s="184"/>
      <c r="AB171" s="180"/>
      <c r="AC171" s="179"/>
      <c r="AD171" s="183"/>
      <c r="AE171" s="185"/>
      <c r="AF171" s="183"/>
      <c r="AG171" s="181"/>
      <c r="AH171" s="186"/>
      <c r="AJ171" s="176"/>
      <c r="AK171" s="187"/>
      <c r="AL171" s="85"/>
    </row>
    <row r="172" s="1" customFormat="1" spans="1:38">
      <c r="A172" s="176"/>
      <c r="B172" s="176"/>
      <c r="C172" s="177"/>
      <c r="D172" s="177"/>
      <c r="E172" s="177"/>
      <c r="F172" s="177"/>
      <c r="G172" s="176"/>
      <c r="H172" s="176"/>
      <c r="I172" s="176"/>
      <c r="K172" s="178"/>
      <c r="L172" s="179"/>
      <c r="M172" s="180"/>
      <c r="N172" s="179"/>
      <c r="O172" s="181"/>
      <c r="P172" s="179"/>
      <c r="Q172" s="182"/>
      <c r="R172" s="179"/>
      <c r="S172" s="183"/>
      <c r="T172" s="182"/>
      <c r="U172" s="179"/>
      <c r="V172" s="182"/>
      <c r="W172" s="179"/>
      <c r="X172" s="180"/>
      <c r="Y172" s="179"/>
      <c r="Z172" s="180"/>
      <c r="AA172" s="184"/>
      <c r="AB172" s="180"/>
      <c r="AC172" s="179"/>
      <c r="AD172" s="183"/>
      <c r="AE172" s="185"/>
      <c r="AF172" s="183"/>
      <c r="AG172" s="181"/>
      <c r="AH172" s="186"/>
      <c r="AJ172" s="176"/>
      <c r="AK172" s="187"/>
      <c r="AL172" s="85"/>
    </row>
    <row r="173" s="1" customFormat="1" spans="1:38">
      <c r="A173" s="176"/>
      <c r="B173" s="176"/>
      <c r="C173" s="177"/>
      <c r="D173" s="177"/>
      <c r="E173" s="177"/>
      <c r="F173" s="177"/>
      <c r="G173" s="176"/>
      <c r="H173" s="176"/>
      <c r="I173" s="176"/>
      <c r="K173" s="178"/>
      <c r="L173" s="179"/>
      <c r="M173" s="180"/>
      <c r="N173" s="179"/>
      <c r="O173" s="181"/>
      <c r="P173" s="179"/>
      <c r="Q173" s="182"/>
      <c r="R173" s="179"/>
      <c r="S173" s="183"/>
      <c r="T173" s="182"/>
      <c r="U173" s="179"/>
      <c r="V173" s="182"/>
      <c r="W173" s="179"/>
      <c r="X173" s="180"/>
      <c r="Y173" s="179"/>
      <c r="Z173" s="180"/>
      <c r="AA173" s="184"/>
      <c r="AB173" s="180"/>
      <c r="AC173" s="179"/>
      <c r="AD173" s="183"/>
      <c r="AE173" s="185"/>
      <c r="AF173" s="183"/>
      <c r="AG173" s="181"/>
      <c r="AH173" s="186"/>
      <c r="AJ173" s="176"/>
      <c r="AK173" s="187"/>
      <c r="AL173" s="85"/>
    </row>
    <row r="174" s="1" customFormat="1" spans="1:38">
      <c r="A174" s="176"/>
      <c r="B174" s="176"/>
      <c r="C174" s="177"/>
      <c r="D174" s="177"/>
      <c r="E174" s="177"/>
      <c r="F174" s="177"/>
      <c r="G174" s="176"/>
      <c r="H174" s="176"/>
      <c r="I174" s="176"/>
      <c r="K174" s="178"/>
      <c r="L174" s="179"/>
      <c r="M174" s="180"/>
      <c r="N174" s="179"/>
      <c r="O174" s="181"/>
      <c r="P174" s="179"/>
      <c r="Q174" s="182"/>
      <c r="R174" s="179"/>
      <c r="S174" s="183"/>
      <c r="T174" s="182"/>
      <c r="U174" s="179"/>
      <c r="V174" s="182"/>
      <c r="W174" s="179"/>
      <c r="X174" s="180"/>
      <c r="Y174" s="179"/>
      <c r="Z174" s="180"/>
      <c r="AA174" s="184"/>
      <c r="AB174" s="180"/>
      <c r="AC174" s="179"/>
      <c r="AD174" s="183"/>
      <c r="AE174" s="185"/>
      <c r="AF174" s="183"/>
      <c r="AG174" s="181"/>
      <c r="AH174" s="186"/>
      <c r="AJ174" s="176"/>
      <c r="AK174" s="187"/>
      <c r="AL174" s="85"/>
    </row>
    <row r="175" s="1" customFormat="1" spans="1:38">
      <c r="A175" s="176"/>
      <c r="B175" s="176"/>
      <c r="C175" s="177"/>
      <c r="D175" s="177"/>
      <c r="E175" s="177"/>
      <c r="F175" s="177"/>
      <c r="G175" s="176"/>
      <c r="H175" s="176"/>
      <c r="I175" s="176"/>
      <c r="K175" s="178"/>
      <c r="L175" s="179"/>
      <c r="M175" s="180"/>
      <c r="N175" s="179"/>
      <c r="O175" s="181"/>
      <c r="P175" s="179"/>
      <c r="Q175" s="182"/>
      <c r="R175" s="179"/>
      <c r="S175" s="183"/>
      <c r="T175" s="182"/>
      <c r="U175" s="179"/>
      <c r="V175" s="182"/>
      <c r="W175" s="179"/>
      <c r="X175" s="180"/>
      <c r="Y175" s="179"/>
      <c r="Z175" s="180"/>
      <c r="AA175" s="184"/>
      <c r="AB175" s="180"/>
      <c r="AC175" s="179"/>
      <c r="AD175" s="183"/>
      <c r="AE175" s="185"/>
      <c r="AF175" s="183"/>
      <c r="AG175" s="181"/>
      <c r="AH175" s="186"/>
      <c r="AJ175" s="176"/>
      <c r="AK175" s="187"/>
      <c r="AL175" s="85"/>
    </row>
    <row r="176" s="1" customFormat="1" spans="1:38">
      <c r="A176" s="176"/>
      <c r="B176" s="176"/>
      <c r="C176" s="177"/>
      <c r="D176" s="177"/>
      <c r="E176" s="177"/>
      <c r="F176" s="177"/>
      <c r="G176" s="176"/>
      <c r="H176" s="176"/>
      <c r="I176" s="176"/>
      <c r="K176" s="178"/>
      <c r="L176" s="179"/>
      <c r="M176" s="180"/>
      <c r="N176" s="179"/>
      <c r="O176" s="181"/>
      <c r="P176" s="179"/>
      <c r="Q176" s="182"/>
      <c r="R176" s="179"/>
      <c r="S176" s="183"/>
      <c r="T176" s="182"/>
      <c r="U176" s="179"/>
      <c r="V176" s="182"/>
      <c r="W176" s="179"/>
      <c r="X176" s="180"/>
      <c r="Y176" s="179"/>
      <c r="Z176" s="180"/>
      <c r="AA176" s="184"/>
      <c r="AB176" s="180"/>
      <c r="AC176" s="179"/>
      <c r="AD176" s="183"/>
      <c r="AE176" s="185"/>
      <c r="AF176" s="183"/>
      <c r="AG176" s="181"/>
      <c r="AH176" s="186"/>
      <c r="AJ176" s="176"/>
      <c r="AK176" s="187"/>
      <c r="AL176" s="85"/>
    </row>
    <row r="177" s="1" customFormat="1" spans="1:38">
      <c r="A177" s="176"/>
      <c r="B177" s="176"/>
      <c r="C177" s="177"/>
      <c r="D177" s="177"/>
      <c r="E177" s="177"/>
      <c r="F177" s="177"/>
      <c r="G177" s="176"/>
      <c r="H177" s="176"/>
      <c r="I177" s="176"/>
      <c r="K177" s="178"/>
      <c r="L177" s="179"/>
      <c r="M177" s="180"/>
      <c r="N177" s="179"/>
      <c r="O177" s="181"/>
      <c r="P177" s="179"/>
      <c r="Q177" s="182"/>
      <c r="R177" s="179"/>
      <c r="S177" s="183"/>
      <c r="T177" s="182"/>
      <c r="U177" s="179"/>
      <c r="V177" s="182"/>
      <c r="W177" s="179"/>
      <c r="X177" s="180"/>
      <c r="Y177" s="179"/>
      <c r="Z177" s="180"/>
      <c r="AA177" s="184"/>
      <c r="AB177" s="180"/>
      <c r="AC177" s="179"/>
      <c r="AD177" s="183"/>
      <c r="AE177" s="185"/>
      <c r="AF177" s="183"/>
      <c r="AG177" s="181"/>
      <c r="AH177" s="186"/>
      <c r="AJ177" s="176"/>
      <c r="AK177" s="187"/>
      <c r="AL177" s="85"/>
    </row>
    <row r="178" s="1" customFormat="1" spans="1:38">
      <c r="A178" s="176"/>
      <c r="B178" s="176"/>
      <c r="C178" s="177"/>
      <c r="D178" s="177"/>
      <c r="E178" s="177"/>
      <c r="F178" s="177"/>
      <c r="G178" s="176"/>
      <c r="H178" s="176"/>
      <c r="I178" s="176"/>
      <c r="K178" s="178"/>
      <c r="L178" s="179"/>
      <c r="M178" s="180"/>
      <c r="N178" s="179"/>
      <c r="O178" s="181"/>
      <c r="P178" s="179"/>
      <c r="Q178" s="182"/>
      <c r="R178" s="179"/>
      <c r="S178" s="183"/>
      <c r="T178" s="182"/>
      <c r="U178" s="179"/>
      <c r="V178" s="182"/>
      <c r="W178" s="179"/>
      <c r="X178" s="180"/>
      <c r="Y178" s="179"/>
      <c r="Z178" s="180"/>
      <c r="AA178" s="184"/>
      <c r="AB178" s="180"/>
      <c r="AC178" s="179"/>
      <c r="AD178" s="183"/>
      <c r="AE178" s="185"/>
      <c r="AF178" s="183"/>
      <c r="AG178" s="181"/>
      <c r="AH178" s="186"/>
      <c r="AJ178" s="176"/>
      <c r="AK178" s="187"/>
      <c r="AL178" s="85"/>
    </row>
    <row r="179" s="1" customFormat="1" spans="1:38">
      <c r="A179" s="176"/>
      <c r="B179" s="176"/>
      <c r="C179" s="177"/>
      <c r="D179" s="177"/>
      <c r="E179" s="177"/>
      <c r="F179" s="177"/>
      <c r="G179" s="176"/>
      <c r="H179" s="176"/>
      <c r="I179" s="176"/>
      <c r="K179" s="178"/>
      <c r="L179" s="179"/>
      <c r="M179" s="180"/>
      <c r="N179" s="179"/>
      <c r="O179" s="181"/>
      <c r="P179" s="179"/>
      <c r="Q179" s="182"/>
      <c r="R179" s="179"/>
      <c r="S179" s="183"/>
      <c r="T179" s="182"/>
      <c r="U179" s="179"/>
      <c r="V179" s="182"/>
      <c r="W179" s="179"/>
      <c r="X179" s="180"/>
      <c r="Y179" s="179"/>
      <c r="Z179" s="180"/>
      <c r="AA179" s="184"/>
      <c r="AB179" s="180"/>
      <c r="AC179" s="179"/>
      <c r="AD179" s="183"/>
      <c r="AE179" s="185"/>
      <c r="AF179" s="183"/>
      <c r="AG179" s="181"/>
      <c r="AH179" s="186"/>
      <c r="AJ179" s="176"/>
      <c r="AK179" s="187"/>
      <c r="AL179" s="85"/>
    </row>
    <row r="180" s="1" customFormat="1" spans="1:38">
      <c r="A180" s="176"/>
      <c r="B180" s="176"/>
      <c r="C180" s="177"/>
      <c r="D180" s="177"/>
      <c r="E180" s="177"/>
      <c r="F180" s="177"/>
      <c r="G180" s="176"/>
      <c r="H180" s="176"/>
      <c r="I180" s="176"/>
      <c r="K180" s="178"/>
      <c r="L180" s="179"/>
      <c r="M180" s="180"/>
      <c r="N180" s="179"/>
      <c r="O180" s="181"/>
      <c r="P180" s="179"/>
      <c r="Q180" s="182"/>
      <c r="R180" s="179"/>
      <c r="S180" s="183"/>
      <c r="T180" s="182"/>
      <c r="U180" s="179"/>
      <c r="V180" s="182"/>
      <c r="W180" s="179"/>
      <c r="X180" s="180"/>
      <c r="Y180" s="179"/>
      <c r="Z180" s="180"/>
      <c r="AA180" s="184"/>
      <c r="AB180" s="180"/>
      <c r="AC180" s="179"/>
      <c r="AD180" s="183"/>
      <c r="AE180" s="185"/>
      <c r="AF180" s="183"/>
      <c r="AG180" s="181"/>
      <c r="AH180" s="186"/>
      <c r="AJ180" s="176"/>
      <c r="AK180" s="187"/>
      <c r="AL180" s="85"/>
    </row>
    <row r="181" s="1" customFormat="1" spans="1:38">
      <c r="A181" s="176"/>
      <c r="B181" s="176"/>
      <c r="C181" s="177"/>
      <c r="D181" s="177"/>
      <c r="E181" s="177"/>
      <c r="F181" s="177"/>
      <c r="G181" s="176"/>
      <c r="H181" s="176"/>
      <c r="I181" s="176"/>
      <c r="K181" s="178"/>
      <c r="L181" s="179"/>
      <c r="M181" s="180"/>
      <c r="N181" s="179"/>
      <c r="O181" s="181"/>
      <c r="P181" s="179"/>
      <c r="Q181" s="182"/>
      <c r="R181" s="179"/>
      <c r="S181" s="183"/>
      <c r="T181" s="182"/>
      <c r="U181" s="179"/>
      <c r="V181" s="182"/>
      <c r="W181" s="179"/>
      <c r="X181" s="180"/>
      <c r="Y181" s="179"/>
      <c r="Z181" s="180"/>
      <c r="AA181" s="184"/>
      <c r="AB181" s="180"/>
      <c r="AC181" s="179"/>
      <c r="AD181" s="183"/>
      <c r="AE181" s="185"/>
      <c r="AF181" s="183"/>
      <c r="AG181" s="181"/>
      <c r="AH181" s="186"/>
      <c r="AJ181" s="176"/>
      <c r="AK181" s="187"/>
      <c r="AL181" s="85"/>
    </row>
    <row r="182" s="1" customFormat="1" spans="1:38">
      <c r="A182" s="176"/>
      <c r="B182" s="176"/>
      <c r="C182" s="177"/>
      <c r="D182" s="177"/>
      <c r="E182" s="177"/>
      <c r="F182" s="177"/>
      <c r="G182" s="176"/>
      <c r="H182" s="176"/>
      <c r="I182" s="176"/>
      <c r="K182" s="178"/>
      <c r="L182" s="179"/>
      <c r="M182" s="180"/>
      <c r="N182" s="179"/>
      <c r="O182" s="181"/>
      <c r="P182" s="179"/>
      <c r="Q182" s="182"/>
      <c r="R182" s="179"/>
      <c r="S182" s="183"/>
      <c r="T182" s="182"/>
      <c r="U182" s="179"/>
      <c r="V182" s="182"/>
      <c r="W182" s="179"/>
      <c r="X182" s="180"/>
      <c r="Y182" s="179"/>
      <c r="Z182" s="180"/>
      <c r="AA182" s="184"/>
      <c r="AB182" s="180"/>
      <c r="AC182" s="179"/>
      <c r="AD182" s="183"/>
      <c r="AE182" s="185"/>
      <c r="AF182" s="183"/>
      <c r="AG182" s="181"/>
      <c r="AH182" s="186"/>
      <c r="AJ182" s="176"/>
      <c r="AK182" s="187"/>
      <c r="AL182" s="85"/>
    </row>
    <row r="183" s="1" customFormat="1" spans="1:38">
      <c r="A183" s="176"/>
      <c r="B183" s="176"/>
      <c r="C183" s="177"/>
      <c r="D183" s="177"/>
      <c r="E183" s="177"/>
      <c r="F183" s="177"/>
      <c r="G183" s="176"/>
      <c r="H183" s="176"/>
      <c r="I183" s="176"/>
      <c r="K183" s="178"/>
      <c r="L183" s="179"/>
      <c r="M183" s="180"/>
      <c r="N183" s="179"/>
      <c r="O183" s="181"/>
      <c r="P183" s="179"/>
      <c r="Q183" s="182"/>
      <c r="R183" s="179"/>
      <c r="S183" s="183"/>
      <c r="T183" s="182"/>
      <c r="U183" s="179"/>
      <c r="V183" s="182"/>
      <c r="W183" s="179"/>
      <c r="X183" s="180"/>
      <c r="Y183" s="179"/>
      <c r="Z183" s="180"/>
      <c r="AA183" s="184"/>
      <c r="AB183" s="180"/>
      <c r="AC183" s="179"/>
      <c r="AD183" s="183"/>
      <c r="AE183" s="185"/>
      <c r="AF183" s="183"/>
      <c r="AG183" s="181"/>
      <c r="AH183" s="186"/>
      <c r="AJ183" s="176"/>
      <c r="AK183" s="187"/>
      <c r="AL183" s="85"/>
    </row>
    <row r="184" s="1" customFormat="1" spans="1:38">
      <c r="A184" s="176"/>
      <c r="B184" s="176"/>
      <c r="C184" s="177"/>
      <c r="D184" s="177"/>
      <c r="E184" s="177"/>
      <c r="F184" s="177"/>
      <c r="G184" s="176"/>
      <c r="H184" s="176"/>
      <c r="I184" s="176"/>
      <c r="K184" s="178"/>
      <c r="L184" s="179"/>
      <c r="M184" s="180"/>
      <c r="N184" s="179"/>
      <c r="O184" s="181"/>
      <c r="P184" s="179"/>
      <c r="Q184" s="182"/>
      <c r="R184" s="179"/>
      <c r="S184" s="183"/>
      <c r="T184" s="182"/>
      <c r="U184" s="179"/>
      <c r="V184" s="182"/>
      <c r="W184" s="179"/>
      <c r="X184" s="180"/>
      <c r="Y184" s="179"/>
      <c r="Z184" s="180"/>
      <c r="AA184" s="184"/>
      <c r="AB184" s="180"/>
      <c r="AC184" s="179"/>
      <c r="AD184" s="183"/>
      <c r="AE184" s="185"/>
      <c r="AF184" s="183"/>
      <c r="AG184" s="181"/>
      <c r="AH184" s="186"/>
      <c r="AJ184" s="176"/>
      <c r="AK184" s="187"/>
      <c r="AL184" s="85"/>
    </row>
    <row r="185" s="1" customFormat="1" spans="1:38">
      <c r="A185" s="176"/>
      <c r="B185" s="176"/>
      <c r="C185" s="177"/>
      <c r="D185" s="177"/>
      <c r="E185" s="177"/>
      <c r="F185" s="177"/>
      <c r="G185" s="176"/>
      <c r="H185" s="176"/>
      <c r="I185" s="176"/>
      <c r="K185" s="178"/>
      <c r="L185" s="179"/>
      <c r="M185" s="180"/>
      <c r="N185" s="179"/>
      <c r="O185" s="181"/>
      <c r="P185" s="179"/>
      <c r="Q185" s="182"/>
      <c r="R185" s="179"/>
      <c r="S185" s="183"/>
      <c r="T185" s="182"/>
      <c r="U185" s="179"/>
      <c r="V185" s="182"/>
      <c r="W185" s="179"/>
      <c r="X185" s="180"/>
      <c r="Y185" s="179"/>
      <c r="Z185" s="180"/>
      <c r="AA185" s="184"/>
      <c r="AB185" s="180"/>
      <c r="AC185" s="179"/>
      <c r="AD185" s="183"/>
      <c r="AE185" s="185"/>
      <c r="AF185" s="183"/>
      <c r="AG185" s="181"/>
      <c r="AH185" s="186"/>
      <c r="AJ185" s="176"/>
      <c r="AK185" s="187"/>
      <c r="AL185" s="85"/>
    </row>
    <row r="186" s="1" customFormat="1" spans="1:38">
      <c r="A186" s="176"/>
      <c r="B186" s="176"/>
      <c r="C186" s="177"/>
      <c r="D186" s="177"/>
      <c r="E186" s="177"/>
      <c r="F186" s="177"/>
      <c r="G186" s="176"/>
      <c r="H186" s="176"/>
      <c r="I186" s="176"/>
      <c r="K186" s="178"/>
      <c r="L186" s="179"/>
      <c r="M186" s="180"/>
      <c r="N186" s="179"/>
      <c r="O186" s="181"/>
      <c r="P186" s="179"/>
      <c r="Q186" s="182"/>
      <c r="R186" s="179"/>
      <c r="S186" s="183"/>
      <c r="T186" s="182"/>
      <c r="U186" s="179"/>
      <c r="V186" s="182"/>
      <c r="W186" s="179"/>
      <c r="X186" s="180"/>
      <c r="Y186" s="179"/>
      <c r="Z186" s="180"/>
      <c r="AA186" s="184"/>
      <c r="AB186" s="180"/>
      <c r="AC186" s="179"/>
      <c r="AD186" s="183"/>
      <c r="AE186" s="185"/>
      <c r="AF186" s="183"/>
      <c r="AG186" s="181"/>
      <c r="AH186" s="186"/>
      <c r="AJ186" s="176"/>
      <c r="AK186" s="187"/>
      <c r="AL186" s="85"/>
    </row>
    <row r="187" s="1" customFormat="1" spans="1:38">
      <c r="A187" s="176"/>
      <c r="B187" s="176"/>
      <c r="C187" s="177"/>
      <c r="D187" s="177"/>
      <c r="E187" s="177"/>
      <c r="F187" s="177"/>
      <c r="G187" s="176"/>
      <c r="H187" s="176"/>
      <c r="I187" s="176"/>
      <c r="K187" s="178"/>
      <c r="L187" s="179"/>
      <c r="M187" s="180"/>
      <c r="N187" s="179"/>
      <c r="O187" s="181"/>
      <c r="P187" s="179"/>
      <c r="Q187" s="182"/>
      <c r="R187" s="179"/>
      <c r="S187" s="183"/>
      <c r="T187" s="182"/>
      <c r="U187" s="179"/>
      <c r="V187" s="182"/>
      <c r="W187" s="179"/>
      <c r="X187" s="180"/>
      <c r="Y187" s="179"/>
      <c r="Z187" s="180"/>
      <c r="AA187" s="184"/>
      <c r="AB187" s="180"/>
      <c r="AC187" s="179"/>
      <c r="AD187" s="183"/>
      <c r="AE187" s="185"/>
      <c r="AF187" s="183"/>
      <c r="AG187" s="181"/>
      <c r="AH187" s="186"/>
      <c r="AJ187" s="176"/>
      <c r="AK187" s="187"/>
      <c r="AL187" s="85"/>
    </row>
    <row r="188" s="1" customFormat="1" spans="1:38">
      <c r="A188" s="176"/>
      <c r="B188" s="176"/>
      <c r="C188" s="177"/>
      <c r="D188" s="177"/>
      <c r="E188" s="177"/>
      <c r="F188" s="177"/>
      <c r="G188" s="176"/>
      <c r="H188" s="176"/>
      <c r="I188" s="176"/>
      <c r="K188" s="178"/>
      <c r="L188" s="179"/>
      <c r="M188" s="180"/>
      <c r="N188" s="179"/>
      <c r="O188" s="181"/>
      <c r="P188" s="179"/>
      <c r="Q188" s="182"/>
      <c r="R188" s="179"/>
      <c r="S188" s="183"/>
      <c r="T188" s="182"/>
      <c r="U188" s="179"/>
      <c r="V188" s="182"/>
      <c r="W188" s="179"/>
      <c r="X188" s="180"/>
      <c r="Y188" s="179"/>
      <c r="Z188" s="180"/>
      <c r="AA188" s="184"/>
      <c r="AB188" s="180"/>
      <c r="AC188" s="179"/>
      <c r="AD188" s="183"/>
      <c r="AE188" s="185"/>
      <c r="AF188" s="183"/>
      <c r="AG188" s="181"/>
      <c r="AH188" s="186"/>
      <c r="AJ188" s="176"/>
      <c r="AK188" s="187"/>
      <c r="AL188" s="85"/>
    </row>
    <row r="189" s="1" customFormat="1" spans="1:38">
      <c r="A189" s="176"/>
      <c r="B189" s="176"/>
      <c r="C189" s="177"/>
      <c r="D189" s="177"/>
      <c r="E189" s="177"/>
      <c r="F189" s="177"/>
      <c r="G189" s="176"/>
      <c r="H189" s="176"/>
      <c r="I189" s="176"/>
      <c r="K189" s="178"/>
      <c r="L189" s="179"/>
      <c r="M189" s="180"/>
      <c r="N189" s="179"/>
      <c r="O189" s="181"/>
      <c r="P189" s="179"/>
      <c r="Q189" s="182"/>
      <c r="R189" s="179"/>
      <c r="S189" s="183"/>
      <c r="T189" s="182"/>
      <c r="U189" s="179"/>
      <c r="V189" s="182"/>
      <c r="W189" s="179"/>
      <c r="X189" s="180"/>
      <c r="Y189" s="179"/>
      <c r="Z189" s="180"/>
      <c r="AA189" s="184"/>
      <c r="AB189" s="180"/>
      <c r="AC189" s="179"/>
      <c r="AD189" s="183"/>
      <c r="AE189" s="185"/>
      <c r="AF189" s="183"/>
      <c r="AG189" s="181"/>
      <c r="AH189" s="186"/>
      <c r="AJ189" s="176"/>
      <c r="AK189" s="187"/>
      <c r="AL189" s="85"/>
    </row>
    <row r="190" s="1" customFormat="1" spans="1:38">
      <c r="A190" s="176"/>
      <c r="B190" s="176"/>
      <c r="C190" s="177"/>
      <c r="D190" s="177"/>
      <c r="E190" s="177"/>
      <c r="F190" s="177"/>
      <c r="G190" s="176"/>
      <c r="H190" s="176"/>
      <c r="I190" s="176"/>
      <c r="K190" s="178"/>
      <c r="L190" s="179"/>
      <c r="M190" s="180"/>
      <c r="N190" s="179"/>
      <c r="O190" s="181"/>
      <c r="P190" s="179"/>
      <c r="Q190" s="182"/>
      <c r="R190" s="179"/>
      <c r="S190" s="183"/>
      <c r="T190" s="182"/>
      <c r="U190" s="179"/>
      <c r="V190" s="182"/>
      <c r="W190" s="179"/>
      <c r="X190" s="180"/>
      <c r="Y190" s="179"/>
      <c r="Z190" s="180"/>
      <c r="AA190" s="184"/>
      <c r="AB190" s="180"/>
      <c r="AC190" s="179"/>
      <c r="AD190" s="183"/>
      <c r="AE190" s="185"/>
      <c r="AF190" s="183"/>
      <c r="AG190" s="181"/>
      <c r="AH190" s="186"/>
      <c r="AJ190" s="176"/>
      <c r="AK190" s="187"/>
      <c r="AL190" s="85"/>
    </row>
    <row r="191" s="1" customFormat="1" spans="1:38">
      <c r="A191" s="176"/>
      <c r="B191" s="176"/>
      <c r="C191" s="177"/>
      <c r="D191" s="177"/>
      <c r="E191" s="177"/>
      <c r="F191" s="177"/>
      <c r="G191" s="176"/>
      <c r="H191" s="176"/>
      <c r="I191" s="176"/>
      <c r="K191" s="178"/>
      <c r="L191" s="179"/>
      <c r="M191" s="180"/>
      <c r="N191" s="179"/>
      <c r="O191" s="181"/>
      <c r="P191" s="179"/>
      <c r="Q191" s="182"/>
      <c r="R191" s="179"/>
      <c r="S191" s="183"/>
      <c r="T191" s="182"/>
      <c r="U191" s="179"/>
      <c r="V191" s="182"/>
      <c r="W191" s="179"/>
      <c r="X191" s="180"/>
      <c r="Y191" s="179"/>
      <c r="Z191" s="180"/>
      <c r="AA191" s="184"/>
      <c r="AB191" s="180"/>
      <c r="AC191" s="179"/>
      <c r="AD191" s="183"/>
      <c r="AE191" s="185"/>
      <c r="AF191" s="183"/>
      <c r="AG191" s="181"/>
      <c r="AH191" s="186"/>
      <c r="AJ191" s="176"/>
      <c r="AK191" s="187"/>
      <c r="AL191" s="85"/>
    </row>
    <row r="192" s="1" customFormat="1" spans="1:38">
      <c r="A192" s="176"/>
      <c r="B192" s="176"/>
      <c r="C192" s="177"/>
      <c r="D192" s="177"/>
      <c r="E192" s="177"/>
      <c r="F192" s="177"/>
      <c r="G192" s="176"/>
      <c r="H192" s="176"/>
      <c r="I192" s="176"/>
      <c r="K192" s="178"/>
      <c r="L192" s="179"/>
      <c r="M192" s="180"/>
      <c r="N192" s="179"/>
      <c r="O192" s="181"/>
      <c r="P192" s="179"/>
      <c r="Q192" s="182"/>
      <c r="R192" s="179"/>
      <c r="S192" s="183"/>
      <c r="T192" s="182"/>
      <c r="U192" s="179"/>
      <c r="V192" s="182"/>
      <c r="W192" s="179"/>
      <c r="X192" s="180"/>
      <c r="Y192" s="179"/>
      <c r="Z192" s="180"/>
      <c r="AA192" s="184"/>
      <c r="AB192" s="180"/>
      <c r="AC192" s="179"/>
      <c r="AD192" s="183"/>
      <c r="AE192" s="185"/>
      <c r="AF192" s="183"/>
      <c r="AG192" s="181"/>
      <c r="AH192" s="186"/>
      <c r="AJ192" s="176"/>
      <c r="AK192" s="187"/>
      <c r="AL192" s="85"/>
    </row>
    <row r="193" s="1" customFormat="1" spans="1:38">
      <c r="A193" s="176"/>
      <c r="B193" s="176"/>
      <c r="C193" s="177"/>
      <c r="D193" s="177"/>
      <c r="E193" s="177"/>
      <c r="F193" s="177"/>
      <c r="G193" s="176"/>
      <c r="H193" s="176"/>
      <c r="I193" s="176"/>
      <c r="K193" s="178"/>
      <c r="L193" s="179"/>
      <c r="M193" s="180"/>
      <c r="N193" s="179"/>
      <c r="O193" s="181"/>
      <c r="P193" s="179"/>
      <c r="Q193" s="182"/>
      <c r="R193" s="179"/>
      <c r="S193" s="183"/>
      <c r="T193" s="182"/>
      <c r="U193" s="179"/>
      <c r="V193" s="182"/>
      <c r="W193" s="179"/>
      <c r="X193" s="180"/>
      <c r="Y193" s="179"/>
      <c r="Z193" s="180"/>
      <c r="AA193" s="184"/>
      <c r="AB193" s="180"/>
      <c r="AC193" s="179"/>
      <c r="AD193" s="183"/>
      <c r="AE193" s="185"/>
      <c r="AF193" s="183"/>
      <c r="AG193" s="181"/>
      <c r="AH193" s="186"/>
      <c r="AJ193" s="176"/>
      <c r="AK193" s="187"/>
      <c r="AL193" s="85"/>
    </row>
    <row r="194" s="1" customFormat="1" spans="1:38">
      <c r="A194" s="176"/>
      <c r="B194" s="176"/>
      <c r="C194" s="177"/>
      <c r="D194" s="177"/>
      <c r="E194" s="177"/>
      <c r="F194" s="177"/>
      <c r="G194" s="176"/>
      <c r="H194" s="176"/>
      <c r="I194" s="176"/>
      <c r="K194" s="178"/>
      <c r="L194" s="179"/>
      <c r="M194" s="180"/>
      <c r="N194" s="179"/>
      <c r="O194" s="181"/>
      <c r="P194" s="179"/>
      <c r="Q194" s="182"/>
      <c r="R194" s="179"/>
      <c r="S194" s="183"/>
      <c r="T194" s="182"/>
      <c r="U194" s="179"/>
      <c r="V194" s="182"/>
      <c r="W194" s="179"/>
      <c r="X194" s="180"/>
      <c r="Y194" s="179"/>
      <c r="Z194" s="180"/>
      <c r="AA194" s="184"/>
      <c r="AB194" s="180"/>
      <c r="AC194" s="179"/>
      <c r="AD194" s="183"/>
      <c r="AE194" s="185"/>
      <c r="AF194" s="183"/>
      <c r="AG194" s="181"/>
      <c r="AH194" s="186"/>
      <c r="AJ194" s="176"/>
      <c r="AK194" s="187"/>
      <c r="AL194" s="85"/>
    </row>
    <row r="195" s="1" customFormat="1" spans="1:38">
      <c r="A195" s="176"/>
      <c r="B195" s="176"/>
      <c r="C195" s="177"/>
      <c r="D195" s="177"/>
      <c r="E195" s="177"/>
      <c r="F195" s="177"/>
      <c r="G195" s="176"/>
      <c r="H195" s="176"/>
      <c r="I195" s="176"/>
      <c r="K195" s="178"/>
      <c r="L195" s="179"/>
      <c r="M195" s="180"/>
      <c r="N195" s="179"/>
      <c r="O195" s="181"/>
      <c r="P195" s="179"/>
      <c r="Q195" s="182"/>
      <c r="R195" s="179"/>
      <c r="S195" s="183"/>
      <c r="T195" s="182"/>
      <c r="U195" s="179"/>
      <c r="V195" s="182"/>
      <c r="W195" s="179"/>
      <c r="X195" s="180"/>
      <c r="Y195" s="179"/>
      <c r="Z195" s="180"/>
      <c r="AA195" s="184"/>
      <c r="AB195" s="180"/>
      <c r="AC195" s="179"/>
      <c r="AD195" s="183"/>
      <c r="AE195" s="185"/>
      <c r="AF195" s="183"/>
      <c r="AG195" s="181"/>
      <c r="AH195" s="186"/>
      <c r="AJ195" s="176"/>
      <c r="AK195" s="187"/>
      <c r="AL195" s="85"/>
    </row>
    <row r="196" s="1" customFormat="1" spans="1:38">
      <c r="A196" s="176"/>
      <c r="B196" s="176"/>
      <c r="C196" s="177"/>
      <c r="D196" s="177"/>
      <c r="E196" s="177"/>
      <c r="F196" s="177"/>
      <c r="G196" s="176"/>
      <c r="H196" s="176"/>
      <c r="I196" s="176"/>
      <c r="K196" s="178"/>
      <c r="L196" s="179"/>
      <c r="M196" s="180"/>
      <c r="N196" s="179"/>
      <c r="O196" s="181"/>
      <c r="P196" s="179"/>
      <c r="Q196" s="182"/>
      <c r="R196" s="179"/>
      <c r="S196" s="183"/>
      <c r="T196" s="182"/>
      <c r="U196" s="179"/>
      <c r="V196" s="182"/>
      <c r="W196" s="179"/>
      <c r="X196" s="180"/>
      <c r="Y196" s="179"/>
      <c r="Z196" s="180"/>
      <c r="AA196" s="184"/>
      <c r="AB196" s="180"/>
      <c r="AC196" s="179"/>
      <c r="AD196" s="183"/>
      <c r="AE196" s="185"/>
      <c r="AF196" s="183"/>
      <c r="AG196" s="181"/>
      <c r="AH196" s="186"/>
      <c r="AJ196" s="176"/>
      <c r="AK196" s="187"/>
      <c r="AL196" s="85"/>
    </row>
    <row r="197" s="1" customFormat="1" spans="1:38">
      <c r="A197" s="176"/>
      <c r="B197" s="176"/>
      <c r="C197" s="177"/>
      <c r="D197" s="177"/>
      <c r="E197" s="177"/>
      <c r="F197" s="177"/>
      <c r="G197" s="176"/>
      <c r="H197" s="176"/>
      <c r="I197" s="176"/>
      <c r="K197" s="178"/>
      <c r="L197" s="179"/>
      <c r="M197" s="180"/>
      <c r="N197" s="179"/>
      <c r="O197" s="181"/>
      <c r="P197" s="179"/>
      <c r="Q197" s="182"/>
      <c r="R197" s="179"/>
      <c r="S197" s="183"/>
      <c r="T197" s="182"/>
      <c r="U197" s="179"/>
      <c r="V197" s="182"/>
      <c r="W197" s="179"/>
      <c r="X197" s="180"/>
      <c r="Y197" s="179"/>
      <c r="Z197" s="180"/>
      <c r="AA197" s="184"/>
      <c r="AB197" s="180"/>
      <c r="AC197" s="179"/>
      <c r="AD197" s="183"/>
      <c r="AE197" s="185"/>
      <c r="AF197" s="183"/>
      <c r="AG197" s="181"/>
      <c r="AH197" s="186"/>
      <c r="AJ197" s="176"/>
      <c r="AK197" s="187"/>
      <c r="AL197" s="85"/>
    </row>
    <row r="198" s="1" customFormat="1" spans="1:38">
      <c r="A198" s="176"/>
      <c r="B198" s="176"/>
      <c r="C198" s="177"/>
      <c r="D198" s="177"/>
      <c r="E198" s="177"/>
      <c r="F198" s="177"/>
      <c r="G198" s="176"/>
      <c r="H198" s="176"/>
      <c r="I198" s="176"/>
      <c r="K198" s="178"/>
      <c r="L198" s="179"/>
      <c r="M198" s="180"/>
      <c r="N198" s="179"/>
      <c r="O198" s="181"/>
      <c r="P198" s="179"/>
      <c r="Q198" s="182"/>
      <c r="R198" s="179"/>
      <c r="S198" s="183"/>
      <c r="T198" s="182"/>
      <c r="U198" s="179"/>
      <c r="V198" s="182"/>
      <c r="W198" s="179"/>
      <c r="X198" s="180"/>
      <c r="Y198" s="179"/>
      <c r="Z198" s="180"/>
      <c r="AA198" s="184"/>
      <c r="AB198" s="180"/>
      <c r="AC198" s="179"/>
      <c r="AD198" s="183"/>
      <c r="AE198" s="185"/>
      <c r="AF198" s="183"/>
      <c r="AG198" s="181"/>
      <c r="AH198" s="186"/>
      <c r="AJ198" s="176"/>
      <c r="AK198" s="187"/>
      <c r="AL198" s="85"/>
    </row>
    <row r="199" s="1" customFormat="1" spans="1:38">
      <c r="A199" s="176"/>
      <c r="B199" s="176"/>
      <c r="C199" s="177"/>
      <c r="D199" s="177"/>
      <c r="E199" s="177"/>
      <c r="F199" s="177"/>
      <c r="G199" s="176"/>
      <c r="H199" s="176"/>
      <c r="I199" s="176"/>
      <c r="K199" s="178"/>
      <c r="L199" s="179"/>
      <c r="M199" s="180"/>
      <c r="N199" s="179"/>
      <c r="O199" s="181"/>
      <c r="P199" s="179"/>
      <c r="Q199" s="182"/>
      <c r="R199" s="179"/>
      <c r="S199" s="183"/>
      <c r="T199" s="182"/>
      <c r="U199" s="179"/>
      <c r="V199" s="182"/>
      <c r="W199" s="179"/>
      <c r="X199" s="180"/>
      <c r="Y199" s="179"/>
      <c r="Z199" s="180"/>
      <c r="AA199" s="184"/>
      <c r="AB199" s="180"/>
      <c r="AC199" s="179"/>
      <c r="AD199" s="183"/>
      <c r="AE199" s="185"/>
      <c r="AF199" s="183"/>
      <c r="AG199" s="181"/>
      <c r="AH199" s="186"/>
      <c r="AJ199" s="176"/>
      <c r="AK199" s="187"/>
      <c r="AL199" s="85"/>
    </row>
    <row r="200" s="1" customFormat="1" spans="1:38">
      <c r="A200" s="176"/>
      <c r="B200" s="176"/>
      <c r="C200" s="177"/>
      <c r="D200" s="177"/>
      <c r="E200" s="177"/>
      <c r="F200" s="177"/>
      <c r="G200" s="176"/>
      <c r="H200" s="176"/>
      <c r="I200" s="176"/>
      <c r="K200" s="178"/>
      <c r="L200" s="179"/>
      <c r="M200" s="180"/>
      <c r="N200" s="179"/>
      <c r="O200" s="181"/>
      <c r="P200" s="179"/>
      <c r="Q200" s="182"/>
      <c r="R200" s="179"/>
      <c r="S200" s="183"/>
      <c r="T200" s="182"/>
      <c r="U200" s="179"/>
      <c r="V200" s="182"/>
      <c r="W200" s="179"/>
      <c r="X200" s="180"/>
      <c r="Y200" s="179"/>
      <c r="Z200" s="180"/>
      <c r="AA200" s="184"/>
      <c r="AB200" s="180"/>
      <c r="AC200" s="179"/>
      <c r="AD200" s="183"/>
      <c r="AE200" s="185"/>
      <c r="AF200" s="183"/>
      <c r="AG200" s="181"/>
      <c r="AH200" s="186"/>
      <c r="AJ200" s="176"/>
      <c r="AK200" s="187"/>
      <c r="AL200" s="85"/>
    </row>
    <row r="201" s="1" customFormat="1" spans="1:38">
      <c r="A201" s="176"/>
      <c r="B201" s="176"/>
      <c r="C201" s="177"/>
      <c r="D201" s="177"/>
      <c r="E201" s="177"/>
      <c r="F201" s="177"/>
      <c r="G201" s="176"/>
      <c r="H201" s="176"/>
      <c r="I201" s="176"/>
      <c r="K201" s="178"/>
      <c r="L201" s="179"/>
      <c r="M201" s="180"/>
      <c r="N201" s="179"/>
      <c r="O201" s="181"/>
      <c r="P201" s="179"/>
      <c r="Q201" s="182"/>
      <c r="R201" s="179"/>
      <c r="S201" s="183"/>
      <c r="T201" s="182"/>
      <c r="U201" s="179"/>
      <c r="V201" s="182"/>
      <c r="W201" s="179"/>
      <c r="X201" s="180"/>
      <c r="Y201" s="179"/>
      <c r="Z201" s="180"/>
      <c r="AA201" s="184"/>
      <c r="AB201" s="180"/>
      <c r="AC201" s="179"/>
      <c r="AD201" s="183"/>
      <c r="AE201" s="185"/>
      <c r="AF201" s="183"/>
      <c r="AG201" s="181"/>
      <c r="AH201" s="186"/>
      <c r="AJ201" s="176"/>
      <c r="AK201" s="187"/>
      <c r="AL201" s="85"/>
    </row>
    <row r="202" s="1" customFormat="1" spans="1:38">
      <c r="A202" s="176"/>
      <c r="B202" s="176"/>
      <c r="C202" s="177"/>
      <c r="D202" s="177"/>
      <c r="E202" s="177"/>
      <c r="F202" s="177"/>
      <c r="G202" s="176"/>
      <c r="H202" s="176"/>
      <c r="I202" s="176"/>
      <c r="K202" s="178"/>
      <c r="L202" s="179"/>
      <c r="M202" s="180"/>
      <c r="N202" s="179"/>
      <c r="O202" s="181"/>
      <c r="P202" s="179"/>
      <c r="Q202" s="182"/>
      <c r="R202" s="179"/>
      <c r="S202" s="183"/>
      <c r="T202" s="182"/>
      <c r="U202" s="179"/>
      <c r="V202" s="182"/>
      <c r="W202" s="179"/>
      <c r="X202" s="180"/>
      <c r="Y202" s="179"/>
      <c r="Z202" s="180"/>
      <c r="AA202" s="184"/>
      <c r="AB202" s="180"/>
      <c r="AC202" s="179"/>
      <c r="AD202" s="183"/>
      <c r="AE202" s="185"/>
      <c r="AF202" s="183"/>
      <c r="AG202" s="181"/>
      <c r="AH202" s="186"/>
      <c r="AJ202" s="176"/>
      <c r="AK202" s="187"/>
      <c r="AL202" s="85"/>
    </row>
    <row r="203" s="1" customFormat="1" spans="1:38">
      <c r="A203" s="176"/>
      <c r="B203" s="176"/>
      <c r="C203" s="177"/>
      <c r="D203" s="177"/>
      <c r="E203" s="177"/>
      <c r="F203" s="177"/>
      <c r="G203" s="176"/>
      <c r="H203" s="176"/>
      <c r="I203" s="176"/>
      <c r="K203" s="178"/>
      <c r="L203" s="179"/>
      <c r="M203" s="180"/>
      <c r="N203" s="179"/>
      <c r="O203" s="181"/>
      <c r="P203" s="179"/>
      <c r="Q203" s="182"/>
      <c r="R203" s="179"/>
      <c r="S203" s="183"/>
      <c r="T203" s="182"/>
      <c r="U203" s="179"/>
      <c r="V203" s="182"/>
      <c r="W203" s="179"/>
      <c r="X203" s="180"/>
      <c r="Y203" s="179"/>
      <c r="Z203" s="180"/>
      <c r="AA203" s="184"/>
      <c r="AB203" s="180"/>
      <c r="AC203" s="179"/>
      <c r="AD203" s="183"/>
      <c r="AE203" s="185"/>
      <c r="AF203" s="183"/>
      <c r="AG203" s="181"/>
      <c r="AH203" s="186"/>
      <c r="AJ203" s="176"/>
      <c r="AK203" s="187"/>
      <c r="AL203" s="85"/>
    </row>
    <row r="204" s="1" customFormat="1" spans="1:38">
      <c r="A204" s="176"/>
      <c r="B204" s="176"/>
      <c r="C204" s="177"/>
      <c r="D204" s="177"/>
      <c r="E204" s="177"/>
      <c r="F204" s="177"/>
      <c r="G204" s="176"/>
      <c r="H204" s="176"/>
      <c r="I204" s="176"/>
      <c r="K204" s="178"/>
      <c r="L204" s="179"/>
      <c r="M204" s="180"/>
      <c r="N204" s="179"/>
      <c r="O204" s="181"/>
      <c r="P204" s="179"/>
      <c r="Q204" s="182"/>
      <c r="R204" s="179"/>
      <c r="S204" s="183"/>
      <c r="T204" s="182"/>
      <c r="U204" s="179"/>
      <c r="V204" s="182"/>
      <c r="W204" s="179"/>
      <c r="X204" s="180"/>
      <c r="Y204" s="179"/>
      <c r="Z204" s="180"/>
      <c r="AA204" s="184"/>
      <c r="AB204" s="180"/>
      <c r="AC204" s="179"/>
      <c r="AD204" s="183"/>
      <c r="AE204" s="185"/>
      <c r="AF204" s="183"/>
      <c r="AG204" s="181"/>
      <c r="AH204" s="186"/>
      <c r="AJ204" s="176"/>
      <c r="AK204" s="187"/>
      <c r="AL204" s="85"/>
    </row>
    <row r="205" s="1" customFormat="1" spans="1:38">
      <c r="A205" s="176"/>
      <c r="B205" s="176"/>
      <c r="C205" s="177"/>
      <c r="D205" s="177"/>
      <c r="E205" s="177"/>
      <c r="F205" s="177"/>
      <c r="G205" s="176"/>
      <c r="H205" s="176"/>
      <c r="I205" s="176"/>
      <c r="K205" s="178"/>
      <c r="L205" s="179"/>
      <c r="M205" s="180"/>
      <c r="N205" s="179"/>
      <c r="O205" s="181"/>
      <c r="P205" s="179"/>
      <c r="Q205" s="182"/>
      <c r="R205" s="179"/>
      <c r="S205" s="183"/>
      <c r="T205" s="182"/>
      <c r="U205" s="179"/>
      <c r="V205" s="182"/>
      <c r="W205" s="179"/>
      <c r="X205" s="180"/>
      <c r="Y205" s="179"/>
      <c r="Z205" s="180"/>
      <c r="AA205" s="184"/>
      <c r="AB205" s="180"/>
      <c r="AC205" s="179"/>
      <c r="AD205" s="183"/>
      <c r="AE205" s="185"/>
      <c r="AF205" s="183"/>
      <c r="AG205" s="181"/>
      <c r="AH205" s="186"/>
      <c r="AJ205" s="176"/>
      <c r="AK205" s="187"/>
      <c r="AL205" s="85"/>
    </row>
    <row r="206" s="1" customFormat="1" spans="1:38">
      <c r="A206" s="176"/>
      <c r="B206" s="176"/>
      <c r="C206" s="177"/>
      <c r="D206" s="177"/>
      <c r="E206" s="177"/>
      <c r="F206" s="177"/>
      <c r="G206" s="176"/>
      <c r="H206" s="176"/>
      <c r="I206" s="176"/>
      <c r="K206" s="178"/>
      <c r="L206" s="179"/>
      <c r="M206" s="180"/>
      <c r="N206" s="179"/>
      <c r="O206" s="181"/>
      <c r="P206" s="179"/>
      <c r="Q206" s="182"/>
      <c r="R206" s="179"/>
      <c r="S206" s="183"/>
      <c r="T206" s="182"/>
      <c r="U206" s="179"/>
      <c r="V206" s="182"/>
      <c r="W206" s="179"/>
      <c r="X206" s="180"/>
      <c r="Y206" s="179"/>
      <c r="Z206" s="180"/>
      <c r="AA206" s="184"/>
      <c r="AB206" s="180"/>
      <c r="AC206" s="179"/>
      <c r="AD206" s="183"/>
      <c r="AE206" s="185"/>
      <c r="AF206" s="183"/>
      <c r="AG206" s="181"/>
      <c r="AH206" s="186"/>
      <c r="AJ206" s="176"/>
      <c r="AK206" s="187"/>
      <c r="AL206" s="85"/>
    </row>
    <row r="207" s="1" customFormat="1" spans="1:38">
      <c r="A207" s="176"/>
      <c r="B207" s="176"/>
      <c r="C207" s="177"/>
      <c r="D207" s="177"/>
      <c r="E207" s="177"/>
      <c r="F207" s="177"/>
      <c r="G207" s="176"/>
      <c r="H207" s="176"/>
      <c r="I207" s="176"/>
      <c r="K207" s="178"/>
      <c r="L207" s="179"/>
      <c r="M207" s="180"/>
      <c r="N207" s="179"/>
      <c r="O207" s="181"/>
      <c r="P207" s="179"/>
      <c r="Q207" s="182"/>
      <c r="R207" s="179"/>
      <c r="S207" s="183"/>
      <c r="T207" s="182"/>
      <c r="U207" s="179"/>
      <c r="V207" s="182"/>
      <c r="W207" s="179"/>
      <c r="X207" s="180"/>
      <c r="Y207" s="179"/>
      <c r="Z207" s="180"/>
      <c r="AA207" s="184"/>
      <c r="AB207" s="180"/>
      <c r="AC207" s="179"/>
      <c r="AD207" s="183"/>
      <c r="AE207" s="185"/>
      <c r="AF207" s="183"/>
      <c r="AG207" s="181"/>
      <c r="AH207" s="186"/>
      <c r="AJ207" s="176"/>
      <c r="AK207" s="187"/>
      <c r="AL207" s="85"/>
    </row>
    <row r="208" s="1" customFormat="1" spans="1:38">
      <c r="A208" s="176"/>
      <c r="B208" s="176"/>
      <c r="C208" s="177"/>
      <c r="D208" s="177"/>
      <c r="E208" s="177"/>
      <c r="F208" s="177"/>
      <c r="G208" s="176"/>
      <c r="H208" s="176"/>
      <c r="I208" s="176"/>
      <c r="K208" s="178"/>
      <c r="L208" s="179"/>
      <c r="M208" s="180"/>
      <c r="N208" s="179"/>
      <c r="O208" s="181"/>
      <c r="P208" s="179"/>
      <c r="Q208" s="182"/>
      <c r="R208" s="179"/>
      <c r="S208" s="183"/>
      <c r="T208" s="182"/>
      <c r="U208" s="179"/>
      <c r="V208" s="182"/>
      <c r="W208" s="179"/>
      <c r="X208" s="180"/>
      <c r="Y208" s="179"/>
      <c r="Z208" s="180"/>
      <c r="AA208" s="184"/>
      <c r="AB208" s="180"/>
      <c r="AC208" s="179"/>
      <c r="AD208" s="183"/>
      <c r="AE208" s="185"/>
      <c r="AF208" s="183"/>
      <c r="AG208" s="181"/>
      <c r="AH208" s="186"/>
      <c r="AJ208" s="176"/>
      <c r="AK208" s="187"/>
      <c r="AL208" s="85"/>
    </row>
    <row r="209" s="1" customFormat="1" spans="1:38">
      <c r="A209" s="176"/>
      <c r="B209" s="176"/>
      <c r="C209" s="177"/>
      <c r="D209" s="177"/>
      <c r="E209" s="177"/>
      <c r="F209" s="177"/>
      <c r="G209" s="176"/>
      <c r="H209" s="176"/>
      <c r="I209" s="176"/>
      <c r="K209" s="178"/>
      <c r="L209" s="179"/>
      <c r="M209" s="180"/>
      <c r="N209" s="179"/>
      <c r="O209" s="181"/>
      <c r="P209" s="179"/>
      <c r="Q209" s="182"/>
      <c r="R209" s="179"/>
      <c r="S209" s="183"/>
      <c r="T209" s="182"/>
      <c r="U209" s="179"/>
      <c r="V209" s="182"/>
      <c r="W209" s="179"/>
      <c r="X209" s="180"/>
      <c r="Y209" s="179"/>
      <c r="Z209" s="180"/>
      <c r="AA209" s="184"/>
      <c r="AB209" s="180"/>
      <c r="AC209" s="179"/>
      <c r="AD209" s="183"/>
      <c r="AE209" s="185"/>
      <c r="AF209" s="183"/>
      <c r="AG209" s="181"/>
      <c r="AH209" s="186"/>
      <c r="AJ209" s="176"/>
      <c r="AK209" s="187"/>
      <c r="AL209" s="85"/>
    </row>
    <row r="210" s="1" customFormat="1" spans="1:38">
      <c r="A210" s="176"/>
      <c r="B210" s="176"/>
      <c r="C210" s="177"/>
      <c r="D210" s="177"/>
      <c r="E210" s="177"/>
      <c r="F210" s="177"/>
      <c r="G210" s="176"/>
      <c r="H210" s="176"/>
      <c r="I210" s="176"/>
      <c r="K210" s="178"/>
      <c r="L210" s="179"/>
      <c r="M210" s="180"/>
      <c r="N210" s="179"/>
      <c r="O210" s="181"/>
      <c r="P210" s="179"/>
      <c r="Q210" s="182"/>
      <c r="R210" s="179"/>
      <c r="S210" s="183"/>
      <c r="T210" s="182"/>
      <c r="U210" s="179"/>
      <c r="V210" s="182"/>
      <c r="W210" s="179"/>
      <c r="X210" s="180"/>
      <c r="Y210" s="179"/>
      <c r="Z210" s="180"/>
      <c r="AA210" s="184"/>
      <c r="AB210" s="180"/>
      <c r="AC210" s="179"/>
      <c r="AD210" s="183"/>
      <c r="AE210" s="185"/>
      <c r="AF210" s="183"/>
      <c r="AG210" s="181"/>
      <c r="AH210" s="186"/>
      <c r="AJ210" s="176"/>
      <c r="AK210" s="187"/>
      <c r="AL210" s="85"/>
    </row>
    <row r="211" s="1" customFormat="1" spans="1:38">
      <c r="A211" s="176"/>
      <c r="B211" s="176"/>
      <c r="C211" s="177"/>
      <c r="D211" s="177"/>
      <c r="E211" s="177"/>
      <c r="F211" s="177"/>
      <c r="G211" s="176"/>
      <c r="H211" s="176"/>
      <c r="I211" s="176"/>
      <c r="K211" s="178"/>
      <c r="L211" s="179"/>
      <c r="M211" s="180"/>
      <c r="N211" s="179"/>
      <c r="O211" s="181"/>
      <c r="P211" s="179"/>
      <c r="Q211" s="182"/>
      <c r="R211" s="179"/>
      <c r="S211" s="183"/>
      <c r="T211" s="182"/>
      <c r="U211" s="179"/>
      <c r="V211" s="182"/>
      <c r="W211" s="179"/>
      <c r="X211" s="180"/>
      <c r="Y211" s="179"/>
      <c r="Z211" s="180"/>
      <c r="AA211" s="184"/>
      <c r="AB211" s="180"/>
      <c r="AC211" s="179"/>
      <c r="AD211" s="183"/>
      <c r="AE211" s="185"/>
      <c r="AF211" s="183"/>
      <c r="AG211" s="181"/>
      <c r="AH211" s="186"/>
      <c r="AJ211" s="176"/>
      <c r="AK211" s="187"/>
      <c r="AL211" s="85"/>
    </row>
    <row r="212" s="1" customFormat="1" spans="1:38">
      <c r="A212" s="176"/>
      <c r="B212" s="176"/>
      <c r="C212" s="177"/>
      <c r="D212" s="177"/>
      <c r="E212" s="177"/>
      <c r="F212" s="177"/>
      <c r="G212" s="176"/>
      <c r="H212" s="176"/>
      <c r="I212" s="176"/>
      <c r="K212" s="178"/>
      <c r="L212" s="179"/>
      <c r="M212" s="180"/>
      <c r="N212" s="179"/>
      <c r="O212" s="181"/>
      <c r="P212" s="179"/>
      <c r="Q212" s="182"/>
      <c r="R212" s="179"/>
      <c r="S212" s="183"/>
      <c r="T212" s="182"/>
      <c r="U212" s="179"/>
      <c r="V212" s="182"/>
      <c r="W212" s="179"/>
      <c r="X212" s="180"/>
      <c r="Y212" s="179"/>
      <c r="Z212" s="180"/>
      <c r="AA212" s="184"/>
      <c r="AB212" s="180"/>
      <c r="AC212" s="179"/>
      <c r="AD212" s="183"/>
      <c r="AE212" s="185"/>
      <c r="AF212" s="183"/>
      <c r="AG212" s="181"/>
      <c r="AH212" s="186"/>
      <c r="AJ212" s="176"/>
      <c r="AK212" s="187"/>
      <c r="AL212" s="85"/>
    </row>
    <row r="213" s="1" customFormat="1" spans="1:38">
      <c r="A213" s="176"/>
      <c r="B213" s="176"/>
      <c r="C213" s="177"/>
      <c r="D213" s="177"/>
      <c r="E213" s="177"/>
      <c r="F213" s="177"/>
      <c r="G213" s="176"/>
      <c r="H213" s="176"/>
      <c r="I213" s="176"/>
      <c r="K213" s="178"/>
      <c r="L213" s="179"/>
      <c r="M213" s="180"/>
      <c r="N213" s="179"/>
      <c r="O213" s="181"/>
      <c r="P213" s="179"/>
      <c r="Q213" s="182"/>
      <c r="R213" s="179"/>
      <c r="S213" s="183"/>
      <c r="T213" s="182"/>
      <c r="U213" s="179"/>
      <c r="V213" s="182"/>
      <c r="W213" s="179"/>
      <c r="X213" s="180"/>
      <c r="Y213" s="179"/>
      <c r="Z213" s="180"/>
      <c r="AA213" s="184"/>
      <c r="AB213" s="180"/>
      <c r="AC213" s="179"/>
      <c r="AD213" s="183"/>
      <c r="AE213" s="185"/>
      <c r="AF213" s="183"/>
      <c r="AG213" s="181"/>
      <c r="AH213" s="186"/>
      <c r="AJ213" s="176"/>
      <c r="AK213" s="187"/>
      <c r="AL213" s="85"/>
    </row>
    <row r="214" s="1" customFormat="1" spans="1:38">
      <c r="A214" s="176"/>
      <c r="B214" s="176"/>
      <c r="C214" s="177"/>
      <c r="D214" s="177"/>
      <c r="E214" s="177"/>
      <c r="F214" s="177"/>
      <c r="G214" s="176"/>
      <c r="H214" s="176"/>
      <c r="I214" s="176"/>
      <c r="K214" s="178"/>
      <c r="L214" s="179"/>
      <c r="M214" s="180"/>
      <c r="N214" s="179"/>
      <c r="O214" s="181"/>
      <c r="P214" s="179"/>
      <c r="Q214" s="182"/>
      <c r="R214" s="179"/>
      <c r="S214" s="183"/>
      <c r="T214" s="182"/>
      <c r="U214" s="179"/>
      <c r="V214" s="182"/>
      <c r="W214" s="179"/>
      <c r="X214" s="180"/>
      <c r="Y214" s="179"/>
      <c r="Z214" s="180"/>
      <c r="AA214" s="184"/>
      <c r="AB214" s="180"/>
      <c r="AC214" s="179"/>
      <c r="AD214" s="183"/>
      <c r="AE214" s="185"/>
      <c r="AF214" s="183"/>
      <c r="AG214" s="181"/>
      <c r="AH214" s="186"/>
      <c r="AJ214" s="176"/>
      <c r="AK214" s="187"/>
      <c r="AL214" s="85"/>
    </row>
    <row r="215" s="1" customFormat="1" spans="1:38">
      <c r="A215" s="176"/>
      <c r="B215" s="176"/>
      <c r="C215" s="177"/>
      <c r="D215" s="177"/>
      <c r="E215" s="177"/>
      <c r="F215" s="177"/>
      <c r="G215" s="176"/>
      <c r="H215" s="176"/>
      <c r="I215" s="176"/>
      <c r="K215" s="178"/>
      <c r="L215" s="179"/>
      <c r="M215" s="180"/>
      <c r="N215" s="179"/>
      <c r="O215" s="181"/>
      <c r="P215" s="179"/>
      <c r="Q215" s="182"/>
      <c r="R215" s="179"/>
      <c r="S215" s="183"/>
      <c r="T215" s="182"/>
      <c r="U215" s="179"/>
      <c r="V215" s="182"/>
      <c r="W215" s="179"/>
      <c r="X215" s="180"/>
      <c r="Y215" s="179"/>
      <c r="Z215" s="180"/>
      <c r="AA215" s="184"/>
      <c r="AB215" s="180"/>
      <c r="AC215" s="179"/>
      <c r="AD215" s="183"/>
      <c r="AE215" s="185"/>
      <c r="AF215" s="183"/>
      <c r="AG215" s="181"/>
      <c r="AH215" s="186"/>
      <c r="AJ215" s="176"/>
      <c r="AK215" s="187"/>
      <c r="AL215" s="85"/>
    </row>
    <row r="216" s="1" customFormat="1" spans="1:38">
      <c r="A216" s="176"/>
      <c r="B216" s="176"/>
      <c r="C216" s="177"/>
      <c r="D216" s="177"/>
      <c r="E216" s="177"/>
      <c r="F216" s="177"/>
      <c r="G216" s="176"/>
      <c r="H216" s="176"/>
      <c r="I216" s="176"/>
      <c r="K216" s="178"/>
      <c r="L216" s="179"/>
      <c r="M216" s="180"/>
      <c r="N216" s="179"/>
      <c r="O216" s="181"/>
      <c r="P216" s="179"/>
      <c r="Q216" s="182"/>
      <c r="R216" s="179"/>
      <c r="S216" s="183"/>
      <c r="T216" s="182"/>
      <c r="U216" s="179"/>
      <c r="V216" s="182"/>
      <c r="W216" s="179"/>
      <c r="X216" s="180"/>
      <c r="Y216" s="179"/>
      <c r="Z216" s="180"/>
      <c r="AA216" s="184"/>
      <c r="AB216" s="180"/>
      <c r="AC216" s="179"/>
      <c r="AD216" s="183"/>
      <c r="AE216" s="185"/>
      <c r="AF216" s="183"/>
      <c r="AG216" s="181"/>
      <c r="AH216" s="186"/>
      <c r="AJ216" s="176"/>
      <c r="AK216" s="187"/>
      <c r="AL216" s="85"/>
    </row>
    <row r="217" s="1" customFormat="1" spans="1:38">
      <c r="A217" s="176"/>
      <c r="B217" s="176"/>
      <c r="C217" s="177"/>
      <c r="D217" s="177"/>
      <c r="E217" s="177"/>
      <c r="F217" s="177"/>
      <c r="G217" s="176"/>
      <c r="H217" s="176"/>
      <c r="I217" s="176"/>
      <c r="K217" s="178"/>
      <c r="L217" s="179"/>
      <c r="M217" s="180"/>
      <c r="N217" s="179"/>
      <c r="O217" s="181"/>
      <c r="P217" s="179"/>
      <c r="Q217" s="182"/>
      <c r="R217" s="179"/>
      <c r="S217" s="183"/>
      <c r="T217" s="182"/>
      <c r="U217" s="179"/>
      <c r="V217" s="182"/>
      <c r="W217" s="179"/>
      <c r="X217" s="180"/>
      <c r="Y217" s="179"/>
      <c r="Z217" s="180"/>
      <c r="AA217" s="184"/>
      <c r="AB217" s="180"/>
      <c r="AC217" s="179"/>
      <c r="AD217" s="183"/>
      <c r="AE217" s="185"/>
      <c r="AF217" s="183"/>
      <c r="AG217" s="181"/>
      <c r="AH217" s="186"/>
      <c r="AJ217" s="176"/>
      <c r="AK217" s="187"/>
      <c r="AL217" s="85"/>
    </row>
    <row r="218" s="1" customFormat="1" spans="1:38">
      <c r="A218" s="176"/>
      <c r="B218" s="176"/>
      <c r="C218" s="177"/>
      <c r="D218" s="177"/>
      <c r="E218" s="177"/>
      <c r="F218" s="177"/>
      <c r="G218" s="176"/>
      <c r="H218" s="176"/>
      <c r="I218" s="176"/>
      <c r="K218" s="178"/>
      <c r="L218" s="179"/>
      <c r="M218" s="180"/>
      <c r="N218" s="179"/>
      <c r="O218" s="181"/>
      <c r="P218" s="179"/>
      <c r="Q218" s="182"/>
      <c r="R218" s="179"/>
      <c r="S218" s="183"/>
      <c r="T218" s="182"/>
      <c r="U218" s="179"/>
      <c r="V218" s="182"/>
      <c r="W218" s="179"/>
      <c r="X218" s="180"/>
      <c r="Y218" s="179"/>
      <c r="Z218" s="180"/>
      <c r="AA218" s="184"/>
      <c r="AB218" s="180"/>
      <c r="AC218" s="179"/>
      <c r="AD218" s="183"/>
      <c r="AE218" s="185"/>
      <c r="AF218" s="183"/>
      <c r="AG218" s="181"/>
      <c r="AH218" s="186"/>
      <c r="AJ218" s="176"/>
      <c r="AK218" s="187"/>
      <c r="AL218" s="85"/>
    </row>
    <row r="219" s="1" customFormat="1" spans="1:38">
      <c r="A219" s="176"/>
      <c r="B219" s="176"/>
      <c r="C219" s="177"/>
      <c r="D219" s="177"/>
      <c r="E219" s="177"/>
      <c r="F219" s="177"/>
      <c r="G219" s="176"/>
      <c r="H219" s="176"/>
      <c r="I219" s="176"/>
      <c r="K219" s="178"/>
      <c r="L219" s="179"/>
      <c r="M219" s="180"/>
      <c r="N219" s="179"/>
      <c r="O219" s="181"/>
      <c r="P219" s="179"/>
      <c r="Q219" s="182"/>
      <c r="R219" s="179"/>
      <c r="S219" s="183"/>
      <c r="T219" s="182"/>
      <c r="U219" s="179"/>
      <c r="V219" s="182"/>
      <c r="W219" s="179"/>
      <c r="X219" s="180"/>
      <c r="Y219" s="179"/>
      <c r="Z219" s="180"/>
      <c r="AA219" s="184"/>
      <c r="AB219" s="180"/>
      <c r="AC219" s="179"/>
      <c r="AD219" s="183"/>
      <c r="AE219" s="185"/>
      <c r="AF219" s="183"/>
      <c r="AG219" s="181"/>
      <c r="AH219" s="186"/>
      <c r="AJ219" s="176"/>
      <c r="AK219" s="187"/>
      <c r="AL219" s="85"/>
    </row>
    <row r="220" s="1" customFormat="1" spans="1:38">
      <c r="A220" s="176"/>
      <c r="B220" s="176"/>
      <c r="C220" s="177"/>
      <c r="D220" s="177"/>
      <c r="E220" s="177"/>
      <c r="F220" s="177"/>
      <c r="G220" s="176"/>
      <c r="H220" s="176"/>
      <c r="I220" s="176"/>
      <c r="K220" s="178"/>
      <c r="L220" s="179"/>
      <c r="M220" s="180"/>
      <c r="N220" s="179"/>
      <c r="O220" s="181"/>
      <c r="P220" s="179"/>
      <c r="Q220" s="182"/>
      <c r="R220" s="179"/>
      <c r="S220" s="183"/>
      <c r="T220" s="182"/>
      <c r="U220" s="179"/>
      <c r="V220" s="182"/>
      <c r="W220" s="179"/>
      <c r="X220" s="180"/>
      <c r="Y220" s="179"/>
      <c r="Z220" s="180"/>
      <c r="AA220" s="184"/>
      <c r="AB220" s="180"/>
      <c r="AC220" s="179"/>
      <c r="AD220" s="183"/>
      <c r="AE220" s="185"/>
      <c r="AF220" s="183"/>
      <c r="AG220" s="181"/>
      <c r="AH220" s="186"/>
      <c r="AJ220" s="176"/>
      <c r="AK220" s="187"/>
      <c r="AL220" s="85"/>
    </row>
    <row r="221" s="1" customFormat="1" spans="1:38">
      <c r="A221" s="176"/>
      <c r="B221" s="176"/>
      <c r="C221" s="177"/>
      <c r="D221" s="177"/>
      <c r="E221" s="177"/>
      <c r="F221" s="177"/>
      <c r="G221" s="176"/>
      <c r="H221" s="176"/>
      <c r="I221" s="176"/>
      <c r="K221" s="178"/>
      <c r="L221" s="179"/>
      <c r="M221" s="180"/>
      <c r="N221" s="179"/>
      <c r="O221" s="181"/>
      <c r="P221" s="179"/>
      <c r="Q221" s="182"/>
      <c r="R221" s="179"/>
      <c r="S221" s="183"/>
      <c r="T221" s="182"/>
      <c r="U221" s="179"/>
      <c r="V221" s="182"/>
      <c r="W221" s="179"/>
      <c r="X221" s="180"/>
      <c r="Y221" s="179"/>
      <c r="Z221" s="180"/>
      <c r="AA221" s="184"/>
      <c r="AB221" s="180"/>
      <c r="AC221" s="179"/>
      <c r="AD221" s="183"/>
      <c r="AE221" s="185"/>
      <c r="AF221" s="183"/>
      <c r="AG221" s="181"/>
      <c r="AH221" s="186"/>
      <c r="AJ221" s="176"/>
      <c r="AK221" s="187"/>
      <c r="AL221" s="85"/>
    </row>
    <row r="222" s="1" customFormat="1" spans="1:38">
      <c r="A222" s="176"/>
      <c r="B222" s="176"/>
      <c r="C222" s="177"/>
      <c r="D222" s="177"/>
      <c r="E222" s="177"/>
      <c r="F222" s="177"/>
      <c r="G222" s="176"/>
      <c r="H222" s="176"/>
      <c r="I222" s="176"/>
      <c r="K222" s="178"/>
      <c r="L222" s="179"/>
      <c r="M222" s="180"/>
      <c r="N222" s="179"/>
      <c r="O222" s="181"/>
      <c r="P222" s="179"/>
      <c r="Q222" s="182"/>
      <c r="R222" s="179"/>
      <c r="S222" s="183"/>
      <c r="T222" s="182"/>
      <c r="U222" s="179"/>
      <c r="V222" s="182"/>
      <c r="W222" s="179"/>
      <c r="X222" s="180"/>
      <c r="Y222" s="179"/>
      <c r="Z222" s="180"/>
      <c r="AA222" s="184"/>
      <c r="AB222" s="180"/>
      <c r="AC222" s="179"/>
      <c r="AD222" s="183"/>
      <c r="AE222" s="185"/>
      <c r="AF222" s="183"/>
      <c r="AG222" s="181"/>
      <c r="AH222" s="186"/>
      <c r="AJ222" s="176"/>
      <c r="AK222" s="187"/>
      <c r="AL222" s="85"/>
    </row>
    <row r="223" s="1" customFormat="1" spans="1:38">
      <c r="A223" s="176"/>
      <c r="B223" s="176"/>
      <c r="C223" s="177"/>
      <c r="D223" s="177"/>
      <c r="E223" s="177"/>
      <c r="F223" s="177"/>
      <c r="G223" s="176"/>
      <c r="H223" s="176"/>
      <c r="I223" s="176"/>
      <c r="K223" s="178"/>
      <c r="L223" s="179"/>
      <c r="M223" s="180"/>
      <c r="N223" s="179"/>
      <c r="O223" s="181"/>
      <c r="P223" s="179"/>
      <c r="Q223" s="182"/>
      <c r="R223" s="179"/>
      <c r="S223" s="183"/>
      <c r="T223" s="182"/>
      <c r="U223" s="179"/>
      <c r="V223" s="182"/>
      <c r="W223" s="179"/>
      <c r="X223" s="180"/>
      <c r="Y223" s="179"/>
      <c r="Z223" s="180"/>
      <c r="AA223" s="184"/>
      <c r="AB223" s="180"/>
      <c r="AC223" s="179"/>
      <c r="AD223" s="183"/>
      <c r="AE223" s="185"/>
      <c r="AF223" s="183"/>
      <c r="AG223" s="181"/>
      <c r="AH223" s="186"/>
      <c r="AJ223" s="176"/>
      <c r="AK223" s="187"/>
      <c r="AL223" s="85"/>
    </row>
    <row r="224" s="1" customFormat="1" spans="1:38">
      <c r="A224" s="176"/>
      <c r="B224" s="176"/>
      <c r="C224" s="177"/>
      <c r="D224" s="177"/>
      <c r="E224" s="177"/>
      <c r="F224" s="177"/>
      <c r="G224" s="176"/>
      <c r="H224" s="176"/>
      <c r="I224" s="176"/>
      <c r="K224" s="178"/>
      <c r="L224" s="179"/>
      <c r="M224" s="180"/>
      <c r="N224" s="179"/>
      <c r="O224" s="181"/>
      <c r="P224" s="179"/>
      <c r="Q224" s="182"/>
      <c r="R224" s="179"/>
      <c r="S224" s="183"/>
      <c r="T224" s="182"/>
      <c r="U224" s="179"/>
      <c r="V224" s="182"/>
      <c r="W224" s="179"/>
      <c r="X224" s="180"/>
      <c r="Y224" s="179"/>
      <c r="Z224" s="180"/>
      <c r="AA224" s="184"/>
      <c r="AB224" s="180"/>
      <c r="AC224" s="179"/>
      <c r="AD224" s="183"/>
      <c r="AE224" s="185"/>
      <c r="AF224" s="183"/>
      <c r="AG224" s="181"/>
      <c r="AH224" s="186"/>
      <c r="AJ224" s="176"/>
      <c r="AK224" s="187"/>
      <c r="AL224" s="85"/>
    </row>
    <row r="225" s="1" customFormat="1" spans="1:38">
      <c r="A225" s="176"/>
      <c r="B225" s="176"/>
      <c r="C225" s="177"/>
      <c r="D225" s="177"/>
      <c r="E225" s="177"/>
      <c r="F225" s="177"/>
      <c r="G225" s="176"/>
      <c r="H225" s="176"/>
      <c r="I225" s="176"/>
      <c r="K225" s="178"/>
      <c r="L225" s="179"/>
      <c r="M225" s="180"/>
      <c r="N225" s="179"/>
      <c r="O225" s="181"/>
      <c r="P225" s="179"/>
      <c r="Q225" s="182"/>
      <c r="R225" s="179"/>
      <c r="S225" s="183"/>
      <c r="T225" s="182"/>
      <c r="U225" s="179"/>
      <c r="V225" s="182"/>
      <c r="W225" s="179"/>
      <c r="X225" s="180"/>
      <c r="Y225" s="179"/>
      <c r="Z225" s="180"/>
      <c r="AA225" s="184"/>
      <c r="AB225" s="180"/>
      <c r="AC225" s="179"/>
      <c r="AD225" s="183"/>
      <c r="AE225" s="185"/>
      <c r="AF225" s="183"/>
      <c r="AG225" s="181"/>
      <c r="AH225" s="186"/>
      <c r="AJ225" s="176"/>
      <c r="AK225" s="187"/>
      <c r="AL225" s="85"/>
    </row>
    <row r="226" s="1" customFormat="1" spans="1:38">
      <c r="A226" s="176"/>
      <c r="B226" s="176"/>
      <c r="C226" s="177"/>
      <c r="D226" s="177"/>
      <c r="E226" s="177"/>
      <c r="F226" s="177"/>
      <c r="G226" s="176"/>
      <c r="H226" s="176"/>
      <c r="I226" s="176"/>
      <c r="K226" s="178"/>
      <c r="L226" s="179"/>
      <c r="M226" s="180"/>
      <c r="N226" s="179"/>
      <c r="O226" s="181"/>
      <c r="P226" s="179"/>
      <c r="Q226" s="182"/>
      <c r="R226" s="179"/>
      <c r="S226" s="183"/>
      <c r="T226" s="182"/>
      <c r="U226" s="179"/>
      <c r="V226" s="182"/>
      <c r="W226" s="179"/>
      <c r="X226" s="180"/>
      <c r="Y226" s="179"/>
      <c r="Z226" s="180"/>
      <c r="AA226" s="184"/>
      <c r="AB226" s="180"/>
      <c r="AC226" s="179"/>
      <c r="AD226" s="183"/>
      <c r="AE226" s="185"/>
      <c r="AF226" s="183"/>
      <c r="AG226" s="181"/>
      <c r="AH226" s="186"/>
      <c r="AJ226" s="176"/>
      <c r="AK226" s="187"/>
      <c r="AL226" s="85"/>
    </row>
    <row r="227" s="1" customFormat="1" spans="1:38">
      <c r="A227" s="176"/>
      <c r="B227" s="176"/>
      <c r="C227" s="177"/>
      <c r="D227" s="177"/>
      <c r="E227" s="177"/>
      <c r="F227" s="177"/>
      <c r="G227" s="176"/>
      <c r="H227" s="176"/>
      <c r="I227" s="176"/>
      <c r="K227" s="178"/>
      <c r="L227" s="179"/>
      <c r="M227" s="180"/>
      <c r="N227" s="179"/>
      <c r="O227" s="181"/>
      <c r="P227" s="179"/>
      <c r="Q227" s="182"/>
      <c r="R227" s="179"/>
      <c r="S227" s="183"/>
      <c r="T227" s="182"/>
      <c r="U227" s="179"/>
      <c r="V227" s="182"/>
      <c r="W227" s="179"/>
      <c r="X227" s="180"/>
      <c r="Y227" s="179"/>
      <c r="Z227" s="180"/>
      <c r="AA227" s="184"/>
      <c r="AB227" s="180"/>
      <c r="AC227" s="179"/>
      <c r="AD227" s="183"/>
      <c r="AE227" s="185"/>
      <c r="AF227" s="183"/>
      <c r="AG227" s="181"/>
      <c r="AH227" s="186"/>
      <c r="AJ227" s="176"/>
      <c r="AK227" s="187"/>
      <c r="AL227" s="85"/>
    </row>
    <row r="228" s="1" customFormat="1" spans="1:38">
      <c r="A228" s="176"/>
      <c r="B228" s="176"/>
      <c r="C228" s="177"/>
      <c r="D228" s="177"/>
      <c r="E228" s="177"/>
      <c r="F228" s="177"/>
      <c r="G228" s="176"/>
      <c r="H228" s="176"/>
      <c r="I228" s="176"/>
      <c r="K228" s="178"/>
      <c r="L228" s="179"/>
      <c r="M228" s="180"/>
      <c r="N228" s="179"/>
      <c r="O228" s="181"/>
      <c r="P228" s="179"/>
      <c r="Q228" s="182"/>
      <c r="R228" s="179"/>
      <c r="S228" s="183"/>
      <c r="T228" s="182"/>
      <c r="U228" s="179"/>
      <c r="V228" s="182"/>
      <c r="W228" s="179"/>
      <c r="X228" s="180"/>
      <c r="Y228" s="179"/>
      <c r="Z228" s="180"/>
      <c r="AA228" s="184"/>
      <c r="AB228" s="180"/>
      <c r="AC228" s="179"/>
      <c r="AD228" s="183"/>
      <c r="AE228" s="185"/>
      <c r="AF228" s="183"/>
      <c r="AG228" s="181"/>
      <c r="AH228" s="186"/>
      <c r="AJ228" s="176"/>
      <c r="AK228" s="187"/>
      <c r="AL228" s="85"/>
    </row>
    <row r="229" s="1" customFormat="1" spans="1:38">
      <c r="A229" s="176"/>
      <c r="B229" s="176"/>
      <c r="C229" s="177"/>
      <c r="D229" s="177"/>
      <c r="E229" s="177"/>
      <c r="F229" s="177"/>
      <c r="G229" s="176"/>
      <c r="H229" s="176"/>
      <c r="I229" s="176"/>
      <c r="K229" s="178"/>
      <c r="L229" s="179"/>
      <c r="M229" s="180"/>
      <c r="N229" s="179"/>
      <c r="O229" s="181"/>
      <c r="P229" s="179"/>
      <c r="Q229" s="182"/>
      <c r="R229" s="179"/>
      <c r="S229" s="183"/>
      <c r="T229" s="182"/>
      <c r="U229" s="179"/>
      <c r="V229" s="182"/>
      <c r="W229" s="179"/>
      <c r="X229" s="180"/>
      <c r="Y229" s="179"/>
      <c r="Z229" s="180"/>
      <c r="AA229" s="184"/>
      <c r="AB229" s="180"/>
      <c r="AC229" s="179"/>
      <c r="AD229" s="183"/>
      <c r="AE229" s="185"/>
      <c r="AF229" s="183"/>
      <c r="AG229" s="181"/>
      <c r="AH229" s="186"/>
      <c r="AJ229" s="176"/>
      <c r="AK229" s="187"/>
      <c r="AL229" s="85"/>
    </row>
    <row r="230" s="1" customFormat="1" spans="1:38">
      <c r="A230" s="176"/>
      <c r="B230" s="176"/>
      <c r="C230" s="177"/>
      <c r="D230" s="177"/>
      <c r="E230" s="177"/>
      <c r="F230" s="177"/>
      <c r="G230" s="176"/>
      <c r="H230" s="176"/>
      <c r="I230" s="176"/>
      <c r="K230" s="178"/>
      <c r="L230" s="179"/>
      <c r="M230" s="180"/>
      <c r="N230" s="179"/>
      <c r="O230" s="181"/>
      <c r="P230" s="179"/>
      <c r="Q230" s="182"/>
      <c r="R230" s="179"/>
      <c r="S230" s="183"/>
      <c r="T230" s="182"/>
      <c r="U230" s="179"/>
      <c r="V230" s="182"/>
      <c r="W230" s="179"/>
      <c r="X230" s="180"/>
      <c r="Y230" s="179"/>
      <c r="Z230" s="180"/>
      <c r="AA230" s="184"/>
      <c r="AB230" s="180"/>
      <c r="AC230" s="179"/>
      <c r="AD230" s="183"/>
      <c r="AE230" s="185"/>
      <c r="AF230" s="183"/>
      <c r="AG230" s="181"/>
      <c r="AH230" s="186"/>
      <c r="AJ230" s="176"/>
      <c r="AK230" s="187"/>
      <c r="AL230" s="85"/>
    </row>
    <row r="231" s="1" customFormat="1" spans="1:38">
      <c r="A231" s="176"/>
      <c r="B231" s="176"/>
      <c r="C231" s="177"/>
      <c r="D231" s="177"/>
      <c r="E231" s="177"/>
      <c r="F231" s="177"/>
      <c r="G231" s="176"/>
      <c r="H231" s="176"/>
      <c r="I231" s="176"/>
      <c r="K231" s="178"/>
      <c r="L231" s="179"/>
      <c r="M231" s="180"/>
      <c r="N231" s="179"/>
      <c r="O231" s="181"/>
      <c r="P231" s="179"/>
      <c r="Q231" s="182"/>
      <c r="R231" s="179"/>
      <c r="S231" s="183"/>
      <c r="T231" s="182"/>
      <c r="U231" s="179"/>
      <c r="V231" s="182"/>
      <c r="W231" s="179"/>
      <c r="X231" s="180"/>
      <c r="Y231" s="179"/>
      <c r="Z231" s="180"/>
      <c r="AA231" s="184"/>
      <c r="AB231" s="180"/>
      <c r="AC231" s="179"/>
      <c r="AD231" s="183"/>
      <c r="AE231" s="185"/>
      <c r="AF231" s="183"/>
      <c r="AG231" s="181"/>
      <c r="AH231" s="186"/>
      <c r="AJ231" s="176"/>
      <c r="AK231" s="187"/>
      <c r="AL231" s="85"/>
    </row>
    <row r="232" s="1" customFormat="1" spans="1:38">
      <c r="A232" s="176"/>
      <c r="B232" s="176"/>
      <c r="C232" s="177"/>
      <c r="D232" s="177"/>
      <c r="E232" s="177"/>
      <c r="F232" s="177"/>
      <c r="G232" s="176"/>
      <c r="H232" s="176"/>
      <c r="I232" s="176"/>
      <c r="K232" s="178"/>
      <c r="L232" s="179"/>
      <c r="M232" s="180"/>
      <c r="N232" s="179"/>
      <c r="O232" s="181"/>
      <c r="P232" s="179"/>
      <c r="Q232" s="182"/>
      <c r="R232" s="179"/>
      <c r="S232" s="183"/>
      <c r="T232" s="182"/>
      <c r="U232" s="179"/>
      <c r="V232" s="182"/>
      <c r="W232" s="179"/>
      <c r="X232" s="180"/>
      <c r="Y232" s="179"/>
      <c r="Z232" s="180"/>
      <c r="AA232" s="184"/>
      <c r="AB232" s="180"/>
      <c r="AC232" s="179"/>
      <c r="AD232" s="183"/>
      <c r="AE232" s="185"/>
      <c r="AF232" s="183"/>
      <c r="AG232" s="181"/>
      <c r="AH232" s="186"/>
      <c r="AJ232" s="176"/>
      <c r="AK232" s="187"/>
      <c r="AL232" s="85"/>
    </row>
    <row r="233" s="1" customFormat="1" spans="1:38">
      <c r="A233" s="176"/>
      <c r="B233" s="176"/>
      <c r="C233" s="177"/>
      <c r="D233" s="177"/>
      <c r="E233" s="177"/>
      <c r="F233" s="177"/>
      <c r="G233" s="176"/>
      <c r="H233" s="176"/>
      <c r="I233" s="176"/>
      <c r="K233" s="178"/>
      <c r="L233" s="179"/>
      <c r="M233" s="180"/>
      <c r="N233" s="179"/>
      <c r="O233" s="181"/>
      <c r="P233" s="179"/>
      <c r="Q233" s="182"/>
      <c r="R233" s="179"/>
      <c r="S233" s="183"/>
      <c r="T233" s="182"/>
      <c r="U233" s="179"/>
      <c r="V233" s="182"/>
      <c r="W233" s="179"/>
      <c r="X233" s="180"/>
      <c r="Y233" s="179"/>
      <c r="Z233" s="180"/>
      <c r="AA233" s="184"/>
      <c r="AB233" s="180"/>
      <c r="AC233" s="179"/>
      <c r="AD233" s="183"/>
      <c r="AE233" s="185"/>
      <c r="AF233" s="183"/>
      <c r="AG233" s="181"/>
      <c r="AH233" s="186"/>
      <c r="AJ233" s="176"/>
      <c r="AK233" s="187"/>
      <c r="AL233" s="85"/>
    </row>
    <row r="234" s="1" customFormat="1" spans="1:38">
      <c r="A234" s="176"/>
      <c r="B234" s="176"/>
      <c r="C234" s="177"/>
      <c r="D234" s="177"/>
      <c r="E234" s="177"/>
      <c r="F234" s="177"/>
      <c r="G234" s="176"/>
      <c r="H234" s="176"/>
      <c r="I234" s="176"/>
      <c r="K234" s="178"/>
      <c r="L234" s="179"/>
      <c r="M234" s="180"/>
      <c r="N234" s="179"/>
      <c r="O234" s="181"/>
      <c r="P234" s="179"/>
      <c r="Q234" s="182"/>
      <c r="R234" s="179"/>
      <c r="S234" s="183"/>
      <c r="T234" s="182"/>
      <c r="U234" s="179"/>
      <c r="V234" s="182"/>
      <c r="W234" s="179"/>
      <c r="X234" s="180"/>
      <c r="Y234" s="179"/>
      <c r="Z234" s="180"/>
      <c r="AA234" s="184"/>
      <c r="AB234" s="180"/>
      <c r="AC234" s="179"/>
      <c r="AD234" s="183"/>
      <c r="AE234" s="185"/>
      <c r="AF234" s="183"/>
      <c r="AG234" s="181"/>
      <c r="AH234" s="186"/>
      <c r="AJ234" s="176"/>
      <c r="AK234" s="187"/>
      <c r="AL234" s="85"/>
    </row>
    <row r="235" s="1" customFormat="1" spans="1:38">
      <c r="A235" s="176"/>
      <c r="B235" s="176"/>
      <c r="C235" s="177"/>
      <c r="D235" s="177"/>
      <c r="E235" s="177"/>
      <c r="F235" s="177"/>
      <c r="G235" s="176"/>
      <c r="H235" s="176"/>
      <c r="I235" s="176"/>
      <c r="K235" s="178"/>
      <c r="L235" s="179"/>
      <c r="M235" s="180"/>
      <c r="N235" s="179"/>
      <c r="O235" s="181"/>
      <c r="P235" s="179"/>
      <c r="Q235" s="182"/>
      <c r="R235" s="179"/>
      <c r="S235" s="183"/>
      <c r="T235" s="182"/>
      <c r="U235" s="179"/>
      <c r="V235" s="182"/>
      <c r="W235" s="179"/>
      <c r="X235" s="180"/>
      <c r="Y235" s="179"/>
      <c r="Z235" s="180"/>
      <c r="AA235" s="184"/>
      <c r="AB235" s="180"/>
      <c r="AC235" s="179"/>
      <c r="AD235" s="183"/>
      <c r="AE235" s="185"/>
      <c r="AF235" s="183"/>
      <c r="AG235" s="181"/>
      <c r="AH235" s="186"/>
      <c r="AJ235" s="176"/>
      <c r="AK235" s="187"/>
      <c r="AL235" s="85"/>
    </row>
    <row r="236" s="1" customFormat="1" spans="1:38">
      <c r="A236" s="176"/>
      <c r="B236" s="176"/>
      <c r="C236" s="177"/>
      <c r="D236" s="177"/>
      <c r="E236" s="177"/>
      <c r="F236" s="177"/>
      <c r="G236" s="176"/>
      <c r="H236" s="176"/>
      <c r="I236" s="176"/>
      <c r="K236" s="178"/>
      <c r="L236" s="179"/>
      <c r="M236" s="180"/>
      <c r="N236" s="179"/>
      <c r="O236" s="181"/>
      <c r="P236" s="179"/>
      <c r="Q236" s="182"/>
      <c r="R236" s="179"/>
      <c r="S236" s="183"/>
      <c r="T236" s="182"/>
      <c r="U236" s="179"/>
      <c r="V236" s="182"/>
      <c r="W236" s="179"/>
      <c r="X236" s="180"/>
      <c r="Y236" s="179"/>
      <c r="Z236" s="180"/>
      <c r="AA236" s="184"/>
      <c r="AB236" s="180"/>
      <c r="AC236" s="179"/>
      <c r="AD236" s="183"/>
      <c r="AE236" s="185"/>
      <c r="AF236" s="183"/>
      <c r="AG236" s="181"/>
      <c r="AH236" s="186"/>
      <c r="AJ236" s="176"/>
      <c r="AK236" s="187"/>
      <c r="AL236" s="85"/>
    </row>
    <row r="237" s="1" customFormat="1" spans="1:38">
      <c r="A237" s="176"/>
      <c r="B237" s="176"/>
      <c r="C237" s="177"/>
      <c r="D237" s="177"/>
      <c r="E237" s="177"/>
      <c r="F237" s="177"/>
      <c r="G237" s="176"/>
      <c r="H237" s="176"/>
      <c r="I237" s="176"/>
      <c r="K237" s="178"/>
      <c r="L237" s="179"/>
      <c r="M237" s="180"/>
      <c r="N237" s="179"/>
      <c r="O237" s="181"/>
      <c r="P237" s="179"/>
      <c r="Q237" s="182"/>
      <c r="R237" s="179"/>
      <c r="S237" s="183"/>
      <c r="T237" s="182"/>
      <c r="U237" s="179"/>
      <c r="V237" s="182"/>
      <c r="W237" s="179"/>
      <c r="X237" s="180"/>
      <c r="Y237" s="179"/>
      <c r="Z237" s="180"/>
      <c r="AA237" s="184"/>
      <c r="AB237" s="180"/>
      <c r="AC237" s="179"/>
      <c r="AD237" s="183"/>
      <c r="AE237" s="185"/>
      <c r="AF237" s="183"/>
      <c r="AG237" s="181"/>
      <c r="AH237" s="186"/>
      <c r="AJ237" s="176"/>
      <c r="AK237" s="187"/>
      <c r="AL237" s="85"/>
    </row>
    <row r="238" s="1" customFormat="1" spans="1:38">
      <c r="A238" s="176"/>
      <c r="B238" s="176"/>
      <c r="C238" s="177"/>
      <c r="D238" s="177"/>
      <c r="E238" s="177"/>
      <c r="F238" s="177"/>
      <c r="G238" s="176"/>
      <c r="H238" s="176"/>
      <c r="I238" s="176"/>
      <c r="K238" s="178"/>
      <c r="L238" s="179"/>
      <c r="M238" s="180"/>
      <c r="N238" s="179"/>
      <c r="O238" s="181"/>
      <c r="P238" s="179"/>
      <c r="Q238" s="182"/>
      <c r="R238" s="179"/>
      <c r="S238" s="183"/>
      <c r="T238" s="182"/>
      <c r="U238" s="179"/>
      <c r="V238" s="182"/>
      <c r="W238" s="179"/>
      <c r="X238" s="180"/>
      <c r="Y238" s="179"/>
      <c r="Z238" s="180"/>
      <c r="AA238" s="184"/>
      <c r="AB238" s="180"/>
      <c r="AC238" s="179"/>
      <c r="AD238" s="183"/>
      <c r="AE238" s="185"/>
      <c r="AF238" s="183"/>
      <c r="AG238" s="181"/>
      <c r="AH238" s="186"/>
      <c r="AJ238" s="176"/>
      <c r="AK238" s="187"/>
      <c r="AL238" s="85"/>
    </row>
    <row r="239" s="1" customFormat="1" spans="1:38">
      <c r="A239" s="176"/>
      <c r="B239" s="176"/>
      <c r="C239" s="177"/>
      <c r="D239" s="177"/>
      <c r="E239" s="177"/>
      <c r="F239" s="177"/>
      <c r="G239" s="176"/>
      <c r="H239" s="176"/>
      <c r="I239" s="176"/>
      <c r="K239" s="178"/>
      <c r="L239" s="179"/>
      <c r="M239" s="180"/>
      <c r="N239" s="179"/>
      <c r="O239" s="181"/>
      <c r="P239" s="179"/>
      <c r="Q239" s="182"/>
      <c r="R239" s="179"/>
      <c r="S239" s="183"/>
      <c r="T239" s="182"/>
      <c r="U239" s="179"/>
      <c r="V239" s="182"/>
      <c r="W239" s="179"/>
      <c r="X239" s="180"/>
      <c r="Y239" s="179"/>
      <c r="Z239" s="180"/>
      <c r="AA239" s="184"/>
      <c r="AB239" s="180"/>
      <c r="AC239" s="179"/>
      <c r="AD239" s="183"/>
      <c r="AE239" s="185"/>
      <c r="AF239" s="183"/>
      <c r="AG239" s="181"/>
      <c r="AH239" s="186"/>
      <c r="AJ239" s="176"/>
      <c r="AK239" s="187"/>
      <c r="AL239" s="85"/>
    </row>
    <row r="240" s="1" customFormat="1" spans="1:38">
      <c r="A240" s="176"/>
      <c r="B240" s="176"/>
      <c r="C240" s="177"/>
      <c r="D240" s="177"/>
      <c r="E240" s="177"/>
      <c r="F240" s="177"/>
      <c r="G240" s="176"/>
      <c r="H240" s="176"/>
      <c r="I240" s="176"/>
      <c r="K240" s="178"/>
      <c r="L240" s="179"/>
      <c r="M240" s="180"/>
      <c r="N240" s="179"/>
      <c r="O240" s="181"/>
      <c r="P240" s="179"/>
      <c r="Q240" s="182"/>
      <c r="R240" s="179"/>
      <c r="S240" s="183"/>
      <c r="T240" s="182"/>
      <c r="U240" s="179"/>
      <c r="V240" s="182"/>
      <c r="W240" s="179"/>
      <c r="X240" s="180"/>
      <c r="Y240" s="179"/>
      <c r="Z240" s="180"/>
      <c r="AA240" s="184"/>
      <c r="AB240" s="180"/>
      <c r="AC240" s="179"/>
      <c r="AD240" s="183"/>
      <c r="AE240" s="185"/>
      <c r="AF240" s="183"/>
      <c r="AG240" s="181"/>
      <c r="AH240" s="186"/>
      <c r="AJ240" s="176"/>
      <c r="AK240" s="187"/>
      <c r="AL240" s="85"/>
    </row>
    <row r="241" s="1" customFormat="1" spans="1:38">
      <c r="A241" s="176"/>
      <c r="B241" s="176"/>
      <c r="C241" s="177"/>
      <c r="D241" s="177"/>
      <c r="E241" s="177"/>
      <c r="F241" s="177"/>
      <c r="G241" s="176"/>
      <c r="H241" s="176"/>
      <c r="I241" s="176"/>
      <c r="K241" s="178"/>
      <c r="L241" s="179"/>
      <c r="M241" s="180"/>
      <c r="N241" s="179"/>
      <c r="O241" s="181"/>
      <c r="P241" s="179"/>
      <c r="Q241" s="182"/>
      <c r="R241" s="179"/>
      <c r="S241" s="183"/>
      <c r="T241" s="182"/>
      <c r="U241" s="179"/>
      <c r="V241" s="182"/>
      <c r="W241" s="179"/>
      <c r="X241" s="180"/>
      <c r="Y241" s="179"/>
      <c r="Z241" s="180"/>
      <c r="AA241" s="184"/>
      <c r="AB241" s="180"/>
      <c r="AC241" s="179"/>
      <c r="AD241" s="183"/>
      <c r="AE241" s="185"/>
      <c r="AF241" s="183"/>
      <c r="AG241" s="181"/>
      <c r="AH241" s="186"/>
      <c r="AJ241" s="176"/>
      <c r="AK241" s="187"/>
      <c r="AL241" s="85"/>
    </row>
    <row r="242" s="1" customFormat="1" spans="1:38">
      <c r="A242" s="176"/>
      <c r="B242" s="176"/>
      <c r="C242" s="177"/>
      <c r="D242" s="177"/>
      <c r="E242" s="177"/>
      <c r="F242" s="177"/>
      <c r="G242" s="176"/>
      <c r="H242" s="176"/>
      <c r="I242" s="176"/>
      <c r="K242" s="178"/>
      <c r="L242" s="179"/>
      <c r="M242" s="180"/>
      <c r="N242" s="179"/>
      <c r="O242" s="181"/>
      <c r="P242" s="179"/>
      <c r="Q242" s="182"/>
      <c r="R242" s="179"/>
      <c r="S242" s="183"/>
      <c r="T242" s="182"/>
      <c r="U242" s="179"/>
      <c r="V242" s="182"/>
      <c r="W242" s="179"/>
      <c r="X242" s="180"/>
      <c r="Y242" s="179"/>
      <c r="Z242" s="180"/>
      <c r="AA242" s="184"/>
      <c r="AB242" s="180"/>
      <c r="AC242" s="179"/>
      <c r="AD242" s="183"/>
      <c r="AE242" s="185"/>
      <c r="AF242" s="183"/>
      <c r="AG242" s="181"/>
      <c r="AH242" s="186"/>
      <c r="AJ242" s="176"/>
      <c r="AK242" s="187"/>
      <c r="AL242" s="85"/>
    </row>
    <row r="243" s="1" customFormat="1" spans="1:38">
      <c r="A243" s="176"/>
      <c r="B243" s="176"/>
      <c r="C243" s="177"/>
      <c r="D243" s="177"/>
      <c r="E243" s="177"/>
      <c r="F243" s="177"/>
      <c r="G243" s="176"/>
      <c r="H243" s="176"/>
      <c r="I243" s="176"/>
      <c r="K243" s="178"/>
      <c r="L243" s="179"/>
      <c r="M243" s="180"/>
      <c r="N243" s="179"/>
      <c r="O243" s="181"/>
      <c r="P243" s="179"/>
      <c r="Q243" s="182"/>
      <c r="R243" s="179"/>
      <c r="S243" s="183"/>
      <c r="T243" s="182"/>
      <c r="U243" s="179"/>
      <c r="V243" s="182"/>
      <c r="W243" s="179"/>
      <c r="X243" s="180"/>
      <c r="Y243" s="179"/>
      <c r="Z243" s="180"/>
      <c r="AA243" s="184"/>
      <c r="AB243" s="180"/>
      <c r="AC243" s="179"/>
      <c r="AD243" s="183"/>
      <c r="AE243" s="185"/>
      <c r="AF243" s="183"/>
      <c r="AG243" s="181"/>
      <c r="AH243" s="186"/>
      <c r="AJ243" s="176"/>
      <c r="AK243" s="187"/>
      <c r="AL243" s="85"/>
    </row>
    <row r="244" s="1" customFormat="1" spans="1:38">
      <c r="A244" s="176"/>
      <c r="B244" s="176"/>
      <c r="C244" s="177"/>
      <c r="D244" s="177"/>
      <c r="E244" s="177"/>
      <c r="F244" s="177"/>
      <c r="G244" s="176"/>
      <c r="H244" s="176"/>
      <c r="I244" s="176"/>
      <c r="K244" s="178"/>
      <c r="L244" s="179"/>
      <c r="M244" s="180"/>
      <c r="N244" s="179"/>
      <c r="O244" s="181"/>
      <c r="P244" s="179"/>
      <c r="Q244" s="182"/>
      <c r="R244" s="179"/>
      <c r="S244" s="183"/>
      <c r="T244" s="182"/>
      <c r="U244" s="179"/>
      <c r="V244" s="182"/>
      <c r="W244" s="179"/>
      <c r="X244" s="180"/>
      <c r="Y244" s="179"/>
      <c r="Z244" s="180"/>
      <c r="AA244" s="184"/>
      <c r="AB244" s="180"/>
      <c r="AC244" s="179"/>
      <c r="AD244" s="183"/>
      <c r="AE244" s="185"/>
      <c r="AF244" s="183"/>
      <c r="AG244" s="181"/>
      <c r="AH244" s="186"/>
      <c r="AJ244" s="176"/>
      <c r="AK244" s="187"/>
      <c r="AL244" s="85"/>
    </row>
    <row r="245" s="1" customFormat="1" spans="1:38">
      <c r="A245" s="176"/>
      <c r="B245" s="176"/>
      <c r="C245" s="177"/>
      <c r="D245" s="177"/>
      <c r="E245" s="177"/>
      <c r="F245" s="177"/>
      <c r="G245" s="176"/>
      <c r="H245" s="176"/>
      <c r="I245" s="176"/>
      <c r="K245" s="178"/>
      <c r="L245" s="179"/>
      <c r="M245" s="180"/>
      <c r="N245" s="179"/>
      <c r="O245" s="181"/>
      <c r="P245" s="179"/>
      <c r="Q245" s="182"/>
      <c r="R245" s="179"/>
      <c r="S245" s="183"/>
      <c r="T245" s="182"/>
      <c r="U245" s="179"/>
      <c r="V245" s="182"/>
      <c r="W245" s="179"/>
      <c r="X245" s="180"/>
      <c r="Y245" s="179"/>
      <c r="Z245" s="180"/>
      <c r="AA245" s="184"/>
      <c r="AB245" s="180"/>
      <c r="AC245" s="179"/>
      <c r="AD245" s="183"/>
      <c r="AE245" s="185"/>
      <c r="AF245" s="183"/>
      <c r="AG245" s="181"/>
      <c r="AH245" s="186"/>
      <c r="AJ245" s="176"/>
      <c r="AK245" s="187"/>
      <c r="AL245" s="85"/>
    </row>
    <row r="246" s="1" customFormat="1" spans="1:38">
      <c r="A246" s="176"/>
      <c r="B246" s="176"/>
      <c r="C246" s="177"/>
      <c r="D246" s="177"/>
      <c r="E246" s="177"/>
      <c r="F246" s="177"/>
      <c r="G246" s="176"/>
      <c r="H246" s="176"/>
      <c r="I246" s="176"/>
      <c r="K246" s="178"/>
      <c r="L246" s="179"/>
      <c r="M246" s="180"/>
      <c r="N246" s="179"/>
      <c r="O246" s="181"/>
      <c r="P246" s="179"/>
      <c r="Q246" s="182"/>
      <c r="R246" s="179"/>
      <c r="S246" s="183"/>
      <c r="T246" s="182"/>
      <c r="U246" s="179"/>
      <c r="V246" s="182"/>
      <c r="W246" s="179"/>
      <c r="X246" s="180"/>
      <c r="Y246" s="179"/>
      <c r="Z246" s="180"/>
      <c r="AA246" s="184"/>
      <c r="AB246" s="180"/>
      <c r="AC246" s="179"/>
      <c r="AD246" s="183"/>
      <c r="AE246" s="185"/>
      <c r="AF246" s="183"/>
      <c r="AG246" s="181"/>
      <c r="AH246" s="186"/>
      <c r="AJ246" s="176"/>
      <c r="AK246" s="187"/>
      <c r="AL246" s="85"/>
    </row>
    <row r="247" s="1" customFormat="1" spans="1:38">
      <c r="A247" s="176"/>
      <c r="B247" s="176"/>
      <c r="C247" s="177"/>
      <c r="D247" s="177"/>
      <c r="E247" s="177"/>
      <c r="F247" s="177"/>
      <c r="G247" s="176"/>
      <c r="H247" s="176"/>
      <c r="I247" s="176"/>
      <c r="K247" s="178"/>
      <c r="L247" s="179"/>
      <c r="M247" s="180"/>
      <c r="N247" s="179"/>
      <c r="O247" s="181"/>
      <c r="P247" s="179"/>
      <c r="Q247" s="182"/>
      <c r="R247" s="179"/>
      <c r="S247" s="183"/>
      <c r="T247" s="182"/>
      <c r="U247" s="179"/>
      <c r="V247" s="182"/>
      <c r="W247" s="179"/>
      <c r="X247" s="180"/>
      <c r="Y247" s="179"/>
      <c r="Z247" s="180"/>
      <c r="AA247" s="184"/>
      <c r="AB247" s="180"/>
      <c r="AC247" s="179"/>
      <c r="AD247" s="183"/>
      <c r="AE247" s="185"/>
      <c r="AF247" s="183"/>
      <c r="AG247" s="181"/>
      <c r="AH247" s="186"/>
      <c r="AJ247" s="176"/>
      <c r="AK247" s="187"/>
      <c r="AL247" s="85"/>
    </row>
    <row r="248" s="1" customFormat="1" spans="1:38">
      <c r="A248" s="176"/>
      <c r="B248" s="176"/>
      <c r="C248" s="177"/>
      <c r="D248" s="177"/>
      <c r="E248" s="177"/>
      <c r="F248" s="177"/>
      <c r="G248" s="176"/>
      <c r="H248" s="176"/>
      <c r="I248" s="176"/>
      <c r="K248" s="178"/>
      <c r="L248" s="179"/>
      <c r="M248" s="180"/>
      <c r="N248" s="179"/>
      <c r="O248" s="181"/>
      <c r="P248" s="179"/>
      <c r="Q248" s="182"/>
      <c r="R248" s="179"/>
      <c r="S248" s="183"/>
      <c r="T248" s="182"/>
      <c r="U248" s="179"/>
      <c r="V248" s="182"/>
      <c r="W248" s="179"/>
      <c r="X248" s="180"/>
      <c r="Y248" s="179"/>
      <c r="Z248" s="180"/>
      <c r="AA248" s="184"/>
      <c r="AB248" s="180"/>
      <c r="AC248" s="179"/>
      <c r="AD248" s="183"/>
      <c r="AE248" s="185"/>
      <c r="AF248" s="183"/>
      <c r="AG248" s="181"/>
      <c r="AH248" s="186"/>
      <c r="AJ248" s="176"/>
      <c r="AK248" s="187"/>
      <c r="AL248" s="85"/>
    </row>
    <row r="249" s="1" customFormat="1" spans="1:38">
      <c r="A249" s="176"/>
      <c r="B249" s="176"/>
      <c r="C249" s="177"/>
      <c r="D249" s="177"/>
      <c r="E249" s="177"/>
      <c r="F249" s="177"/>
      <c r="G249" s="176"/>
      <c r="H249" s="176"/>
      <c r="I249" s="176"/>
      <c r="K249" s="178"/>
      <c r="L249" s="179"/>
      <c r="M249" s="180"/>
      <c r="N249" s="179"/>
      <c r="O249" s="181"/>
      <c r="P249" s="179"/>
      <c r="Q249" s="182"/>
      <c r="R249" s="179"/>
      <c r="S249" s="183"/>
      <c r="T249" s="182"/>
      <c r="U249" s="179"/>
      <c r="V249" s="182"/>
      <c r="W249" s="179"/>
      <c r="X249" s="180"/>
      <c r="Y249" s="179"/>
      <c r="Z249" s="180"/>
      <c r="AA249" s="184"/>
      <c r="AB249" s="180"/>
      <c r="AC249" s="179"/>
      <c r="AD249" s="183"/>
      <c r="AE249" s="185"/>
      <c r="AF249" s="183"/>
      <c r="AG249" s="181"/>
      <c r="AH249" s="186"/>
      <c r="AJ249" s="176"/>
      <c r="AK249" s="187"/>
      <c r="AL249" s="85"/>
    </row>
    <row r="250" s="1" customFormat="1" spans="1:38">
      <c r="A250" s="176"/>
      <c r="B250" s="176"/>
      <c r="C250" s="177"/>
      <c r="D250" s="177"/>
      <c r="E250" s="177"/>
      <c r="F250" s="177"/>
      <c r="G250" s="176"/>
      <c r="H250" s="176"/>
      <c r="I250" s="176"/>
      <c r="K250" s="178"/>
      <c r="L250" s="179"/>
      <c r="M250" s="180"/>
      <c r="N250" s="179"/>
      <c r="O250" s="181"/>
      <c r="P250" s="179"/>
      <c r="Q250" s="182"/>
      <c r="R250" s="179"/>
      <c r="S250" s="183"/>
      <c r="T250" s="182"/>
      <c r="U250" s="179"/>
      <c r="V250" s="182"/>
      <c r="W250" s="179"/>
      <c r="X250" s="180"/>
      <c r="Y250" s="179"/>
      <c r="Z250" s="180"/>
      <c r="AA250" s="184"/>
      <c r="AB250" s="180"/>
      <c r="AC250" s="179"/>
      <c r="AD250" s="183"/>
      <c r="AE250" s="185"/>
      <c r="AF250" s="183"/>
      <c r="AG250" s="181"/>
      <c r="AH250" s="186"/>
      <c r="AJ250" s="176"/>
      <c r="AK250" s="187"/>
      <c r="AL250" s="85"/>
    </row>
    <row r="251" s="1" customFormat="1" spans="1:38">
      <c r="A251" s="176"/>
      <c r="B251" s="176"/>
      <c r="C251" s="177"/>
      <c r="D251" s="177"/>
      <c r="E251" s="177"/>
      <c r="F251" s="177"/>
      <c r="G251" s="176"/>
      <c r="H251" s="176"/>
      <c r="I251" s="176"/>
      <c r="K251" s="178"/>
      <c r="L251" s="179"/>
      <c r="M251" s="180"/>
      <c r="N251" s="179"/>
      <c r="O251" s="181"/>
      <c r="P251" s="179"/>
      <c r="Q251" s="182"/>
      <c r="R251" s="179"/>
      <c r="S251" s="183"/>
      <c r="T251" s="182"/>
      <c r="U251" s="179"/>
      <c r="V251" s="182"/>
      <c r="W251" s="179"/>
      <c r="X251" s="180"/>
      <c r="Y251" s="179"/>
      <c r="Z251" s="180"/>
      <c r="AA251" s="184"/>
      <c r="AB251" s="180"/>
      <c r="AC251" s="179"/>
      <c r="AD251" s="183"/>
      <c r="AE251" s="185"/>
      <c r="AF251" s="183"/>
      <c r="AG251" s="181"/>
      <c r="AH251" s="186"/>
      <c r="AJ251" s="176"/>
      <c r="AK251" s="187"/>
      <c r="AL251" s="85"/>
    </row>
    <row r="252" s="1" customFormat="1" spans="1:38">
      <c r="A252" s="176"/>
      <c r="B252" s="176"/>
      <c r="C252" s="177"/>
      <c r="D252" s="177"/>
      <c r="E252" s="177"/>
      <c r="F252" s="177"/>
      <c r="G252" s="176"/>
      <c r="H252" s="176"/>
      <c r="I252" s="176"/>
      <c r="K252" s="178"/>
      <c r="L252" s="179"/>
      <c r="M252" s="180"/>
      <c r="N252" s="179"/>
      <c r="O252" s="181"/>
      <c r="P252" s="179"/>
      <c r="Q252" s="182"/>
      <c r="R252" s="179"/>
      <c r="S252" s="183"/>
      <c r="T252" s="182"/>
      <c r="U252" s="179"/>
      <c r="V252" s="182"/>
      <c r="W252" s="179"/>
      <c r="X252" s="180"/>
      <c r="Y252" s="179"/>
      <c r="Z252" s="180"/>
      <c r="AA252" s="184"/>
      <c r="AB252" s="180"/>
      <c r="AC252" s="179"/>
      <c r="AD252" s="183"/>
      <c r="AE252" s="185"/>
      <c r="AF252" s="183"/>
      <c r="AG252" s="181"/>
      <c r="AH252" s="186"/>
      <c r="AJ252" s="176"/>
      <c r="AK252" s="187"/>
      <c r="AL252" s="85"/>
    </row>
    <row r="253" s="1" customFormat="1" spans="1:38">
      <c r="A253" s="176"/>
      <c r="B253" s="176"/>
      <c r="C253" s="177"/>
      <c r="D253" s="177"/>
      <c r="E253" s="177"/>
      <c r="F253" s="177"/>
      <c r="G253" s="176"/>
      <c r="H253" s="176"/>
      <c r="I253" s="176"/>
      <c r="K253" s="178"/>
      <c r="L253" s="179"/>
      <c r="M253" s="180"/>
      <c r="N253" s="179"/>
      <c r="O253" s="181"/>
      <c r="P253" s="179"/>
      <c r="Q253" s="182"/>
      <c r="R253" s="179"/>
      <c r="S253" s="183"/>
      <c r="T253" s="182"/>
      <c r="U253" s="179"/>
      <c r="V253" s="182"/>
      <c r="W253" s="179"/>
      <c r="X253" s="180"/>
      <c r="Y253" s="179"/>
      <c r="Z253" s="180"/>
      <c r="AA253" s="184"/>
      <c r="AB253" s="180"/>
      <c r="AC253" s="179"/>
      <c r="AD253" s="183"/>
      <c r="AE253" s="185"/>
      <c r="AF253" s="183"/>
      <c r="AG253" s="181"/>
      <c r="AH253" s="186"/>
      <c r="AJ253" s="176"/>
      <c r="AK253" s="187"/>
      <c r="AL253" s="85"/>
    </row>
    <row r="254" s="1" customFormat="1" spans="1:38">
      <c r="A254" s="176"/>
      <c r="B254" s="176"/>
      <c r="C254" s="177"/>
      <c r="D254" s="177"/>
      <c r="E254" s="177"/>
      <c r="F254" s="177"/>
      <c r="G254" s="176"/>
      <c r="H254" s="176"/>
      <c r="I254" s="176"/>
      <c r="K254" s="178"/>
      <c r="L254" s="179"/>
      <c r="M254" s="180"/>
      <c r="N254" s="179"/>
      <c r="O254" s="181"/>
      <c r="P254" s="179"/>
      <c r="Q254" s="182"/>
      <c r="R254" s="179"/>
      <c r="S254" s="183"/>
      <c r="T254" s="182"/>
      <c r="U254" s="179"/>
      <c r="V254" s="182"/>
      <c r="W254" s="179"/>
      <c r="X254" s="180"/>
      <c r="Y254" s="179"/>
      <c r="Z254" s="180"/>
      <c r="AA254" s="184"/>
      <c r="AB254" s="180"/>
      <c r="AC254" s="179"/>
      <c r="AD254" s="183"/>
      <c r="AE254" s="185"/>
      <c r="AF254" s="183"/>
      <c r="AG254" s="181"/>
      <c r="AH254" s="186"/>
      <c r="AJ254" s="176"/>
      <c r="AK254" s="187"/>
      <c r="AL254" s="85"/>
    </row>
    <row r="255" s="1" customFormat="1" spans="1:38">
      <c r="A255" s="176"/>
      <c r="B255" s="176"/>
      <c r="C255" s="177"/>
      <c r="D255" s="177"/>
      <c r="E255" s="177"/>
      <c r="F255" s="177"/>
      <c r="G255" s="176"/>
      <c r="H255" s="176"/>
      <c r="I255" s="176"/>
      <c r="K255" s="178"/>
      <c r="L255" s="179"/>
      <c r="M255" s="180"/>
      <c r="N255" s="179"/>
      <c r="O255" s="181"/>
      <c r="P255" s="179"/>
      <c r="Q255" s="182"/>
      <c r="R255" s="179"/>
      <c r="S255" s="183"/>
      <c r="T255" s="182"/>
      <c r="U255" s="179"/>
      <c r="V255" s="182"/>
      <c r="W255" s="179"/>
      <c r="X255" s="180"/>
      <c r="Y255" s="179"/>
      <c r="Z255" s="180"/>
      <c r="AA255" s="184"/>
      <c r="AB255" s="180"/>
      <c r="AC255" s="179"/>
      <c r="AD255" s="183"/>
      <c r="AE255" s="185"/>
      <c r="AF255" s="183"/>
      <c r="AG255" s="181"/>
      <c r="AH255" s="186"/>
      <c r="AJ255" s="176"/>
      <c r="AK255" s="187"/>
      <c r="AL255" s="85"/>
    </row>
    <row r="256" s="1" customFormat="1" spans="1:38">
      <c r="A256" s="176"/>
      <c r="B256" s="176"/>
      <c r="C256" s="177"/>
      <c r="D256" s="177"/>
      <c r="E256" s="177"/>
      <c r="F256" s="177"/>
      <c r="G256" s="176"/>
      <c r="H256" s="176"/>
      <c r="I256" s="176"/>
      <c r="K256" s="178"/>
      <c r="L256" s="179"/>
      <c r="M256" s="180"/>
      <c r="N256" s="179"/>
      <c r="O256" s="181"/>
      <c r="P256" s="179"/>
      <c r="Q256" s="182"/>
      <c r="R256" s="179"/>
      <c r="S256" s="183"/>
      <c r="T256" s="182"/>
      <c r="U256" s="179"/>
      <c r="V256" s="182"/>
      <c r="W256" s="179"/>
      <c r="X256" s="180"/>
      <c r="Y256" s="179"/>
      <c r="Z256" s="180"/>
      <c r="AA256" s="184"/>
      <c r="AB256" s="180"/>
      <c r="AC256" s="179"/>
      <c r="AD256" s="183"/>
      <c r="AE256" s="185"/>
      <c r="AF256" s="183"/>
      <c r="AG256" s="181"/>
      <c r="AH256" s="186"/>
      <c r="AJ256" s="176"/>
      <c r="AK256" s="187"/>
      <c r="AL256" s="85"/>
    </row>
    <row r="257" s="1" customFormat="1" spans="1:38">
      <c r="A257" s="176"/>
      <c r="B257" s="176"/>
      <c r="C257" s="177"/>
      <c r="D257" s="177"/>
      <c r="E257" s="177"/>
      <c r="F257" s="177"/>
      <c r="G257" s="176"/>
      <c r="H257" s="176"/>
      <c r="I257" s="176"/>
      <c r="K257" s="178"/>
      <c r="L257" s="179"/>
      <c r="M257" s="180"/>
      <c r="N257" s="179"/>
      <c r="O257" s="181"/>
      <c r="P257" s="179"/>
      <c r="Q257" s="182"/>
      <c r="R257" s="179"/>
      <c r="S257" s="183"/>
      <c r="T257" s="182"/>
      <c r="U257" s="179"/>
      <c r="V257" s="182"/>
      <c r="W257" s="179"/>
      <c r="X257" s="180"/>
      <c r="Y257" s="179"/>
      <c r="Z257" s="180"/>
      <c r="AA257" s="184"/>
      <c r="AB257" s="180"/>
      <c r="AC257" s="179"/>
      <c r="AD257" s="183"/>
      <c r="AE257" s="185"/>
      <c r="AF257" s="183"/>
      <c r="AG257" s="181"/>
      <c r="AH257" s="186"/>
      <c r="AJ257" s="176"/>
      <c r="AK257" s="187"/>
      <c r="AL257" s="85"/>
    </row>
    <row r="258" s="1" customFormat="1" spans="1:38">
      <c r="A258" s="176"/>
      <c r="B258" s="176"/>
      <c r="C258" s="177"/>
      <c r="D258" s="177"/>
      <c r="E258" s="177"/>
      <c r="F258" s="177"/>
      <c r="G258" s="176"/>
      <c r="H258" s="176"/>
      <c r="I258" s="176"/>
      <c r="K258" s="178"/>
      <c r="L258" s="179"/>
      <c r="M258" s="180"/>
      <c r="N258" s="179"/>
      <c r="O258" s="181"/>
      <c r="P258" s="179"/>
      <c r="Q258" s="182"/>
      <c r="R258" s="179"/>
      <c r="S258" s="183"/>
      <c r="T258" s="182"/>
      <c r="U258" s="179"/>
      <c r="V258" s="182"/>
      <c r="W258" s="179"/>
      <c r="X258" s="180"/>
      <c r="Y258" s="179"/>
      <c r="Z258" s="180"/>
      <c r="AA258" s="184"/>
      <c r="AB258" s="180"/>
      <c r="AC258" s="179"/>
      <c r="AD258" s="183"/>
      <c r="AE258" s="185"/>
      <c r="AF258" s="183"/>
      <c r="AG258" s="181"/>
      <c r="AH258" s="186"/>
      <c r="AJ258" s="176"/>
      <c r="AK258" s="187"/>
      <c r="AL258" s="85"/>
    </row>
    <row r="259" s="1" customFormat="1" spans="1:38">
      <c r="A259" s="176"/>
      <c r="B259" s="176"/>
      <c r="C259" s="177"/>
      <c r="D259" s="177"/>
      <c r="E259" s="177"/>
      <c r="F259" s="177"/>
      <c r="G259" s="176"/>
      <c r="H259" s="176"/>
      <c r="I259" s="176"/>
      <c r="K259" s="178"/>
      <c r="L259" s="179"/>
      <c r="M259" s="180"/>
      <c r="N259" s="179"/>
      <c r="O259" s="181"/>
      <c r="P259" s="179"/>
      <c r="Q259" s="182"/>
      <c r="R259" s="179"/>
      <c r="S259" s="183"/>
      <c r="T259" s="182"/>
      <c r="U259" s="179"/>
      <c r="V259" s="182"/>
      <c r="W259" s="179"/>
      <c r="X259" s="180"/>
      <c r="Y259" s="179"/>
      <c r="Z259" s="180"/>
      <c r="AA259" s="184"/>
      <c r="AB259" s="180"/>
      <c r="AC259" s="179"/>
      <c r="AD259" s="183"/>
      <c r="AE259" s="185"/>
      <c r="AF259" s="183"/>
      <c r="AG259" s="181"/>
      <c r="AH259" s="186"/>
      <c r="AJ259" s="176"/>
      <c r="AK259" s="187"/>
      <c r="AL259" s="85"/>
    </row>
    <row r="260" customFormat="1" spans="1:38">
      <c r="A260" s="38"/>
      <c r="B260" s="38"/>
      <c r="C260" s="39"/>
      <c r="D260" s="39"/>
      <c r="E260" s="39"/>
      <c r="F260" s="39"/>
      <c r="G260" s="38"/>
      <c r="H260" s="38"/>
      <c r="I260" s="38"/>
      <c r="K260" s="5"/>
      <c r="L260" s="40"/>
      <c r="M260" s="41"/>
      <c r="N260" s="40"/>
      <c r="O260" s="42"/>
      <c r="P260" s="40"/>
      <c r="Q260" s="43"/>
      <c r="R260" s="40"/>
      <c r="S260" s="44"/>
      <c r="T260" s="43"/>
      <c r="U260" s="40"/>
      <c r="V260" s="43"/>
      <c r="W260" s="40"/>
      <c r="X260" s="41"/>
      <c r="Y260" s="40"/>
      <c r="Z260" s="180"/>
      <c r="AA260" s="45"/>
      <c r="AB260" s="41"/>
      <c r="AC260" s="40"/>
      <c r="AD260" s="44"/>
      <c r="AE260" s="6"/>
      <c r="AF260" s="44"/>
      <c r="AG260" s="42"/>
      <c r="AH260" s="46"/>
      <c r="AJ260" s="38"/>
      <c r="AK260" s="47"/>
      <c r="AL260" s="48"/>
    </row>
  </sheetData>
  <autoFilter xmlns:etc="http://www.wps.cn/officeDocument/2017/etCustomData" ref="A2:AL155" etc:filterBottomFollowUsedRange="0">
    <extLst/>
  </autoFilter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R125"/>
  <sheetViews>
    <sheetView workbookViewId="0">
      <selection activeCell="D21" sqref="D21"/>
    </sheetView>
  </sheetViews>
  <sheetFormatPr defaultColWidth="9" defaultRowHeight="13.5"/>
  <cols>
    <col min="1" max="1" width="5.36666666666667" customWidth="1"/>
    <col min="2" max="2" width="19.9083333333333" style="2" customWidth="1"/>
    <col min="3" max="3" width="71.5416666666667" customWidth="1"/>
    <col min="4" max="4" width="17.4583333333333" style="3" customWidth="1"/>
    <col min="5" max="5" width="15.1833333333333" style="4" customWidth="1"/>
    <col min="6" max="6" width="20.8166666666667" customWidth="1"/>
    <col min="7" max="7" width="18.275" style="5" customWidth="1"/>
    <col min="8" max="8" width="12.3666666666667" customWidth="1"/>
    <col min="9" max="9" width="23.725" customWidth="1"/>
    <col min="10" max="10" width="6.54166666666667" style="6" customWidth="1"/>
    <col min="11" max="11" width="12.8166666666667" style="6" customWidth="1"/>
    <col min="12" max="13" width="17.8166666666667" style="6" customWidth="1"/>
    <col min="14" max="15" width="12.4583333333333" style="5" customWidth="1"/>
    <col min="16" max="16" width="11.275" customWidth="1"/>
    <col min="17" max="17" width="15.275" style="5" customWidth="1"/>
    <col min="18" max="18" width="20.4583333333333" style="7" customWidth="1"/>
  </cols>
  <sheetData>
    <row r="1" ht="33" customHeight="1" spans="1:18">
      <c r="A1" s="8" t="s">
        <v>241</v>
      </c>
      <c r="B1" s="9"/>
      <c r="C1" s="8"/>
      <c r="D1" s="10"/>
      <c r="E1" s="11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2"/>
      <c r="R1" s="8"/>
    </row>
    <row r="2" ht="30" customHeight="1" spans="1:18">
      <c r="A2" s="13" t="s">
        <v>1</v>
      </c>
      <c r="B2" s="14" t="s">
        <v>242</v>
      </c>
      <c r="C2" s="13" t="s">
        <v>6</v>
      </c>
      <c r="D2" s="15" t="s">
        <v>243</v>
      </c>
      <c r="E2" s="16" t="s">
        <v>244</v>
      </c>
      <c r="F2" s="13" t="s">
        <v>9</v>
      </c>
      <c r="G2" s="17" t="s">
        <v>10</v>
      </c>
      <c r="H2" s="13" t="s">
        <v>245</v>
      </c>
      <c r="I2" s="13" t="s">
        <v>246</v>
      </c>
      <c r="J2" s="18" t="s">
        <v>247</v>
      </c>
      <c r="K2" s="18" t="s">
        <v>248</v>
      </c>
      <c r="L2" s="18" t="s">
        <v>249</v>
      </c>
      <c r="M2" s="18" t="s">
        <v>250</v>
      </c>
      <c r="N2" s="17" t="s">
        <v>251</v>
      </c>
      <c r="O2" s="17" t="s">
        <v>252</v>
      </c>
      <c r="P2" s="13" t="s">
        <v>253</v>
      </c>
      <c r="Q2" s="17" t="s">
        <v>32</v>
      </c>
      <c r="R2" s="19" t="s">
        <v>254</v>
      </c>
    </row>
    <row r="3" s="1" customFormat="1" ht="18" customHeight="1" spans="1:18">
      <c r="A3" s="20"/>
      <c r="B3" s="21">
        <v>45925</v>
      </c>
      <c r="C3" s="20" t="s">
        <v>255</v>
      </c>
      <c r="D3" s="22">
        <v>21056000</v>
      </c>
      <c r="E3" s="23"/>
      <c r="F3" s="24" t="s">
        <v>256</v>
      </c>
      <c r="G3" s="25"/>
      <c r="H3" s="20"/>
      <c r="I3" s="20"/>
      <c r="J3" s="26"/>
      <c r="K3" s="26"/>
      <c r="L3" s="27"/>
      <c r="M3" s="27"/>
      <c r="N3" s="25"/>
      <c r="O3" s="25"/>
      <c r="P3" s="20"/>
      <c r="Q3" s="25">
        <f t="shared" ref="Q3:Q66" si="0">J3*P3</f>
        <v>0</v>
      </c>
      <c r="R3" s="28"/>
    </row>
    <row r="4" s="1" customFormat="1" ht="18" customHeight="1" spans="1:18">
      <c r="A4" s="20"/>
      <c r="B4" s="21">
        <v>45958</v>
      </c>
      <c r="C4" s="20" t="s">
        <v>257</v>
      </c>
      <c r="D4" s="22">
        <v>20833129</v>
      </c>
      <c r="E4" s="23"/>
      <c r="F4" s="20"/>
      <c r="G4" s="25"/>
      <c r="H4" s="20"/>
      <c r="I4" s="20"/>
      <c r="J4" s="26"/>
      <c r="K4" s="26"/>
      <c r="L4" s="27"/>
      <c r="M4" s="27"/>
      <c r="N4" s="25"/>
      <c r="O4" s="25"/>
      <c r="P4" s="20"/>
      <c r="Q4" s="25">
        <f t="shared" si="0"/>
        <v>0</v>
      </c>
      <c r="R4" s="28"/>
    </row>
    <row r="5" s="1" customFormat="1" ht="18" customHeight="1" spans="1:18">
      <c r="A5" s="20"/>
      <c r="B5" s="21">
        <v>45958</v>
      </c>
      <c r="C5" s="20" t="s">
        <v>257</v>
      </c>
      <c r="D5" s="22">
        <v>2824784</v>
      </c>
      <c r="E5" s="29"/>
      <c r="F5" s="24" t="s">
        <v>258</v>
      </c>
      <c r="G5" s="25"/>
      <c r="H5" s="20"/>
      <c r="I5" s="20"/>
      <c r="J5" s="26"/>
      <c r="K5" s="26"/>
      <c r="L5" s="27"/>
      <c r="M5" s="27"/>
      <c r="N5" s="25"/>
      <c r="O5" s="25"/>
      <c r="P5" s="20"/>
      <c r="Q5" s="25">
        <f t="shared" si="0"/>
        <v>0</v>
      </c>
      <c r="R5" s="28"/>
    </row>
    <row r="6" s="1" customFormat="1" ht="18" customHeight="1" spans="1:18">
      <c r="A6" s="20"/>
      <c r="B6" s="21">
        <v>45994</v>
      </c>
      <c r="C6" s="20" t="s">
        <v>259</v>
      </c>
      <c r="D6" s="22">
        <v>21620122</v>
      </c>
      <c r="E6" s="23"/>
      <c r="F6" s="30" t="s">
        <v>260</v>
      </c>
      <c r="G6" s="25"/>
      <c r="H6" s="20"/>
      <c r="I6" s="20"/>
      <c r="J6" s="26"/>
      <c r="K6" s="26"/>
      <c r="L6" s="27"/>
      <c r="M6" s="27"/>
      <c r="N6" s="25"/>
      <c r="O6" s="25"/>
      <c r="P6" s="20"/>
      <c r="Q6" s="25">
        <f t="shared" si="0"/>
        <v>0</v>
      </c>
      <c r="R6" s="28"/>
    </row>
    <row r="7" s="1" customFormat="1" ht="18" customHeight="1" spans="1:18">
      <c r="A7" s="20"/>
      <c r="B7" s="21">
        <v>45994</v>
      </c>
      <c r="C7" s="20" t="s">
        <v>261</v>
      </c>
      <c r="D7" s="22">
        <v>5238424</v>
      </c>
      <c r="E7" s="23"/>
      <c r="F7" s="30" t="s">
        <v>262</v>
      </c>
      <c r="G7" s="25"/>
      <c r="H7" s="20"/>
      <c r="I7" s="20"/>
      <c r="J7" s="26"/>
      <c r="K7" s="26"/>
      <c r="L7" s="27"/>
      <c r="M7" s="27"/>
      <c r="N7" s="25"/>
      <c r="O7" s="25"/>
      <c r="P7" s="20"/>
      <c r="Q7" s="25">
        <f t="shared" si="0"/>
        <v>0</v>
      </c>
      <c r="R7" s="28"/>
    </row>
    <row r="8" s="1" customFormat="1" ht="18" customHeight="1" spans="1:18">
      <c r="A8" s="20"/>
      <c r="B8" s="21">
        <v>45995</v>
      </c>
      <c r="C8" s="20" t="s">
        <v>263</v>
      </c>
      <c r="D8" s="22"/>
      <c r="E8" s="23">
        <v>1500</v>
      </c>
      <c r="F8" s="20"/>
      <c r="G8" s="25"/>
      <c r="H8" s="20"/>
      <c r="I8" s="20"/>
      <c r="J8" s="26"/>
      <c r="K8" s="26"/>
      <c r="L8" s="27"/>
      <c r="M8" s="27"/>
      <c r="N8" s="25"/>
      <c r="O8" s="25"/>
      <c r="P8" s="20"/>
      <c r="Q8" s="25">
        <f t="shared" si="0"/>
        <v>0</v>
      </c>
      <c r="R8" s="28">
        <v>1391089266</v>
      </c>
    </row>
    <row r="9" s="1" customFormat="1" ht="18" customHeight="1" spans="1:18">
      <c r="A9" s="20"/>
      <c r="B9" s="21">
        <v>45996</v>
      </c>
      <c r="C9" s="20" t="s">
        <v>264</v>
      </c>
      <c r="D9" s="22"/>
      <c r="E9" s="23">
        <v>1140</v>
      </c>
      <c r="F9" s="20"/>
      <c r="G9" s="25"/>
      <c r="H9" s="20"/>
      <c r="I9" s="20"/>
      <c r="J9" s="26"/>
      <c r="K9" s="26"/>
      <c r="L9" s="27"/>
      <c r="M9" s="27"/>
      <c r="N9" s="25"/>
      <c r="O9" s="25"/>
      <c r="P9" s="20"/>
      <c r="Q9" s="25">
        <f t="shared" si="0"/>
        <v>0</v>
      </c>
      <c r="R9" s="28"/>
    </row>
    <row r="10" s="1" customFormat="1" ht="18" customHeight="1" spans="1:18">
      <c r="A10" s="20"/>
      <c r="B10" s="31">
        <v>46014</v>
      </c>
      <c r="C10" s="20" t="s">
        <v>265</v>
      </c>
      <c r="D10" s="22">
        <v>62317668</v>
      </c>
      <c r="E10" s="23"/>
      <c r="F10" s="30" t="s">
        <v>266</v>
      </c>
      <c r="G10" s="25"/>
      <c r="H10" s="20"/>
      <c r="I10" s="20"/>
      <c r="J10" s="26"/>
      <c r="K10" s="26"/>
      <c r="L10" s="27"/>
      <c r="M10" s="27"/>
      <c r="N10" s="25"/>
      <c r="O10" s="25"/>
      <c r="P10" s="20"/>
      <c r="Q10" s="25">
        <f t="shared" si="0"/>
        <v>0</v>
      </c>
      <c r="R10" s="28"/>
    </row>
    <row r="11" s="1" customFormat="1" ht="18" customHeight="1" spans="1:18">
      <c r="A11" s="20"/>
      <c r="B11" s="31">
        <v>46014</v>
      </c>
      <c r="C11" s="20" t="s">
        <v>265</v>
      </c>
      <c r="D11" s="22">
        <v>15782628</v>
      </c>
      <c r="E11" s="23"/>
      <c r="F11" s="30" t="s">
        <v>267</v>
      </c>
      <c r="G11" s="25"/>
      <c r="H11" s="20"/>
      <c r="I11" s="20"/>
      <c r="J11" s="26"/>
      <c r="K11" s="26"/>
      <c r="L11" s="27"/>
      <c r="M11" s="27"/>
      <c r="N11" s="25"/>
      <c r="O11" s="25"/>
      <c r="P11" s="20"/>
      <c r="Q11" s="25">
        <f t="shared" si="0"/>
        <v>0</v>
      </c>
      <c r="R11" s="28"/>
    </row>
    <row r="12" s="1" customFormat="1" ht="18" customHeight="1" spans="1:18">
      <c r="A12" s="20"/>
      <c r="B12" s="32">
        <v>46014</v>
      </c>
      <c r="C12" s="20" t="s">
        <v>268</v>
      </c>
      <c r="D12" s="22">
        <v>5000000</v>
      </c>
      <c r="E12" s="23"/>
      <c r="F12" s="20"/>
      <c r="G12" s="25"/>
      <c r="H12" s="20"/>
      <c r="I12" s="20"/>
      <c r="J12" s="26"/>
      <c r="K12" s="26"/>
      <c r="L12" s="26"/>
      <c r="M12" s="26"/>
      <c r="N12" s="25"/>
      <c r="O12" s="25"/>
      <c r="P12" s="20"/>
      <c r="Q12" s="25">
        <f t="shared" si="0"/>
        <v>0</v>
      </c>
      <c r="R12" s="28"/>
    </row>
    <row r="13" s="1" customFormat="1" ht="18" customHeight="1" spans="1:18">
      <c r="A13" s="20"/>
      <c r="B13" s="31">
        <v>46021</v>
      </c>
      <c r="C13" s="20" t="s">
        <v>269</v>
      </c>
      <c r="D13" s="22"/>
      <c r="E13" s="33">
        <v>693</v>
      </c>
      <c r="F13" s="20"/>
      <c r="G13" s="25"/>
      <c r="H13" s="20"/>
      <c r="I13" s="20"/>
      <c r="J13" s="26"/>
      <c r="K13" s="26"/>
      <c r="L13" s="27"/>
      <c r="M13" s="27"/>
      <c r="N13" s="25"/>
      <c r="O13" s="25"/>
      <c r="P13" s="20"/>
      <c r="Q13" s="25">
        <f t="shared" si="0"/>
        <v>0</v>
      </c>
      <c r="R13" s="28"/>
    </row>
    <row r="14" s="1" customFormat="1" ht="18" customHeight="1" spans="1:18">
      <c r="A14" s="20"/>
      <c r="B14" s="31">
        <v>46027</v>
      </c>
      <c r="C14" s="20" t="s">
        <v>270</v>
      </c>
      <c r="D14" s="22">
        <v>24710225</v>
      </c>
      <c r="E14" s="23"/>
      <c r="F14" s="20"/>
      <c r="G14" s="25"/>
      <c r="H14" s="20"/>
      <c r="I14" s="20"/>
      <c r="J14" s="26"/>
      <c r="K14" s="26"/>
      <c r="L14" s="26"/>
      <c r="M14" s="26"/>
      <c r="N14" s="25"/>
      <c r="O14" s="25"/>
      <c r="P14" s="20"/>
      <c r="Q14" s="25">
        <f t="shared" si="0"/>
        <v>0</v>
      </c>
      <c r="R14" s="28"/>
    </row>
    <row r="15" s="1" customFormat="1" ht="18" customHeight="1" spans="1:18">
      <c r="A15" s="20"/>
      <c r="B15" s="21">
        <v>46029</v>
      </c>
      <c r="C15" s="20" t="s">
        <v>271</v>
      </c>
      <c r="D15" s="22"/>
      <c r="E15" s="23">
        <v>217.04</v>
      </c>
      <c r="F15" s="20"/>
      <c r="G15" s="25"/>
      <c r="H15" s="20"/>
      <c r="I15" s="20"/>
      <c r="J15" s="26"/>
      <c r="K15" s="26"/>
      <c r="L15" s="27"/>
      <c r="M15" s="27"/>
      <c r="N15" s="25"/>
      <c r="O15" s="25"/>
      <c r="P15" s="20"/>
      <c r="Q15" s="25">
        <f t="shared" si="0"/>
        <v>0</v>
      </c>
      <c r="R15" s="28"/>
    </row>
    <row r="16" s="1" customFormat="1" ht="18" customHeight="1" spans="1:18">
      <c r="A16" s="20"/>
      <c r="B16" s="31">
        <v>46030</v>
      </c>
      <c r="C16" s="20" t="s">
        <v>272</v>
      </c>
      <c r="D16" s="22"/>
      <c r="E16" s="23">
        <v>3000</v>
      </c>
      <c r="F16" s="20"/>
      <c r="G16" s="25"/>
      <c r="H16" s="20"/>
      <c r="I16" s="20"/>
      <c r="J16" s="26"/>
      <c r="K16" s="26"/>
      <c r="L16" s="27"/>
      <c r="M16" s="27"/>
      <c r="N16" s="25"/>
      <c r="O16" s="25"/>
      <c r="P16" s="20"/>
      <c r="Q16" s="25">
        <f t="shared" si="0"/>
        <v>0</v>
      </c>
      <c r="R16" s="28"/>
    </row>
    <row r="17" s="1" customFormat="1" ht="18" customHeight="1" spans="1:18">
      <c r="A17" s="20"/>
      <c r="B17" s="31">
        <v>46030</v>
      </c>
      <c r="C17" s="20" t="s">
        <v>273</v>
      </c>
      <c r="D17" s="22">
        <v>27190000</v>
      </c>
      <c r="E17" s="23"/>
      <c r="F17" s="20"/>
      <c r="G17" s="25"/>
      <c r="H17" s="20"/>
      <c r="I17" s="20"/>
      <c r="J17" s="26"/>
      <c r="K17" s="26"/>
      <c r="L17" s="26"/>
      <c r="M17" s="26"/>
      <c r="N17" s="25"/>
      <c r="O17" s="25"/>
      <c r="P17" s="20"/>
      <c r="Q17" s="25">
        <f t="shared" si="0"/>
        <v>0</v>
      </c>
      <c r="R17" s="28"/>
    </row>
    <row r="18" s="1" customFormat="1" ht="18" customHeight="1" spans="1:18">
      <c r="A18" s="20"/>
      <c r="B18" s="31">
        <v>46031</v>
      </c>
      <c r="C18" s="20" t="s">
        <v>274</v>
      </c>
      <c r="D18" s="22">
        <v>2922000</v>
      </c>
      <c r="E18" s="23"/>
      <c r="F18" s="20"/>
      <c r="G18" s="25"/>
      <c r="H18" s="20"/>
      <c r="I18" s="20"/>
      <c r="J18" s="26"/>
      <c r="K18" s="26"/>
      <c r="L18" s="26"/>
      <c r="M18" s="26"/>
      <c r="N18" s="25"/>
      <c r="O18" s="25"/>
      <c r="P18" s="20"/>
      <c r="Q18" s="25">
        <f t="shared" si="0"/>
        <v>0</v>
      </c>
      <c r="R18" s="28"/>
    </row>
    <row r="19" s="1" customFormat="1" ht="18" customHeight="1" spans="1:18">
      <c r="A19" s="20"/>
      <c r="B19" s="21">
        <v>46032</v>
      </c>
      <c r="C19" s="20" t="s">
        <v>275</v>
      </c>
      <c r="D19" s="22"/>
      <c r="E19" s="23">
        <v>1069.08</v>
      </c>
      <c r="F19" s="20"/>
      <c r="G19" s="25"/>
      <c r="H19" s="20"/>
      <c r="I19" s="20"/>
      <c r="J19" s="26"/>
      <c r="K19" s="26"/>
      <c r="L19" s="27"/>
      <c r="M19" s="27"/>
      <c r="N19" s="25"/>
      <c r="O19" s="25"/>
      <c r="P19" s="20"/>
      <c r="Q19" s="25">
        <f t="shared" si="0"/>
        <v>0</v>
      </c>
      <c r="R19" s="28"/>
    </row>
    <row r="20" s="1" customFormat="1" ht="18" customHeight="1" spans="1:18">
      <c r="A20" s="20"/>
      <c r="B20" s="21">
        <v>46032</v>
      </c>
      <c r="C20" s="20" t="s">
        <v>276</v>
      </c>
      <c r="D20" s="22">
        <v>10285000</v>
      </c>
      <c r="E20" s="23"/>
      <c r="F20" s="20"/>
      <c r="G20" s="25"/>
      <c r="H20" s="20"/>
      <c r="I20" s="20"/>
      <c r="J20" s="26"/>
      <c r="K20" s="26"/>
      <c r="L20" s="26"/>
      <c r="M20" s="26"/>
      <c r="N20" s="25"/>
      <c r="O20" s="25"/>
      <c r="P20" s="20"/>
      <c r="Q20" s="25">
        <f t="shared" si="0"/>
        <v>0</v>
      </c>
      <c r="R20" s="28"/>
    </row>
    <row r="21" s="1" customFormat="1" ht="18" customHeight="1" spans="1:18">
      <c r="A21" s="20"/>
      <c r="B21" s="31">
        <v>46035</v>
      </c>
      <c r="C21" s="20" t="s">
        <v>277</v>
      </c>
      <c r="D21" s="22">
        <v>931316</v>
      </c>
      <c r="E21" s="23"/>
      <c r="F21" s="20"/>
      <c r="G21" s="25"/>
      <c r="H21" s="20"/>
      <c r="I21" s="20"/>
      <c r="J21" s="26"/>
      <c r="K21" s="26"/>
      <c r="L21" s="26"/>
      <c r="M21" s="26"/>
      <c r="N21" s="25"/>
      <c r="O21" s="25"/>
      <c r="P21" s="20"/>
      <c r="Q21" s="25">
        <f t="shared" si="0"/>
        <v>0</v>
      </c>
      <c r="R21" s="28"/>
    </row>
    <row r="22" s="1" customFormat="1" ht="18" customHeight="1" spans="1:18">
      <c r="A22" s="20"/>
      <c r="B22" s="31">
        <v>46035</v>
      </c>
      <c r="C22" s="20" t="s">
        <v>278</v>
      </c>
      <c r="D22" s="22">
        <v>733120</v>
      </c>
      <c r="E22" s="23"/>
      <c r="F22" s="20"/>
      <c r="G22" s="25"/>
      <c r="H22" s="20"/>
      <c r="I22" s="20"/>
      <c r="J22" s="26"/>
      <c r="K22" s="26"/>
      <c r="L22" s="26"/>
      <c r="M22" s="26"/>
      <c r="N22" s="25"/>
      <c r="O22" s="25"/>
      <c r="P22" s="20"/>
      <c r="Q22" s="25">
        <f t="shared" si="0"/>
        <v>0</v>
      </c>
      <c r="R22" s="28"/>
    </row>
    <row r="23" s="1" customFormat="1" ht="18" customHeight="1" spans="1:18">
      <c r="A23" s="20"/>
      <c r="B23" s="31">
        <v>46037</v>
      </c>
      <c r="C23" s="20" t="s">
        <v>279</v>
      </c>
      <c r="D23" s="22"/>
      <c r="E23" s="23">
        <v>308</v>
      </c>
      <c r="F23" s="20"/>
      <c r="G23" s="25"/>
      <c r="H23" s="20"/>
      <c r="I23" s="20"/>
      <c r="J23" s="26"/>
      <c r="K23" s="26"/>
      <c r="L23" s="27"/>
      <c r="M23" s="27"/>
      <c r="N23" s="25"/>
      <c r="O23" s="25"/>
      <c r="P23" s="20"/>
      <c r="Q23" s="25">
        <f t="shared" si="0"/>
        <v>0</v>
      </c>
      <c r="R23" s="28"/>
    </row>
    <row r="24" s="1" customFormat="1" ht="18" customHeight="1" spans="1:18">
      <c r="A24" s="20"/>
      <c r="B24" s="31">
        <v>46038</v>
      </c>
      <c r="C24" s="20" t="s">
        <v>280</v>
      </c>
      <c r="D24" s="22">
        <v>1350097.24</v>
      </c>
      <c r="E24" s="23"/>
      <c r="F24" s="20"/>
      <c r="G24" s="25"/>
      <c r="H24" s="20"/>
      <c r="I24" s="20"/>
      <c r="J24" s="26"/>
      <c r="K24" s="26"/>
      <c r="L24" s="26"/>
      <c r="M24" s="26"/>
      <c r="N24" s="25"/>
      <c r="O24" s="25"/>
      <c r="P24" s="20"/>
      <c r="Q24" s="25">
        <f t="shared" si="0"/>
        <v>0</v>
      </c>
      <c r="R24" s="28"/>
    </row>
    <row r="25" s="1" customFormat="1" ht="18" customHeight="1" spans="1:18">
      <c r="A25" s="20"/>
      <c r="B25" s="31">
        <v>46038</v>
      </c>
      <c r="C25" s="20" t="s">
        <v>281</v>
      </c>
      <c r="D25" s="22">
        <v>751707</v>
      </c>
      <c r="E25" s="23"/>
      <c r="F25" s="20"/>
      <c r="G25" s="25"/>
      <c r="H25" s="20"/>
      <c r="I25" s="20"/>
      <c r="J25" s="26"/>
      <c r="K25" s="26"/>
      <c r="L25" s="26"/>
      <c r="M25" s="26"/>
      <c r="N25" s="25"/>
      <c r="O25" s="25"/>
      <c r="P25" s="20"/>
      <c r="Q25" s="25">
        <f t="shared" si="0"/>
        <v>0</v>
      </c>
      <c r="R25" s="28"/>
    </row>
    <row r="26" s="1" customFormat="1" ht="18" customHeight="1" spans="1:18">
      <c r="A26" s="20"/>
      <c r="B26" s="31">
        <v>46039</v>
      </c>
      <c r="C26" s="20" t="s">
        <v>282</v>
      </c>
      <c r="D26" s="22">
        <v>7526712</v>
      </c>
      <c r="E26" s="23"/>
      <c r="F26" s="20"/>
      <c r="G26" s="25"/>
      <c r="H26" s="20"/>
      <c r="I26" s="20"/>
      <c r="J26" s="26"/>
      <c r="K26" s="26"/>
      <c r="L26" s="26"/>
      <c r="M26" s="26"/>
      <c r="N26" s="25"/>
      <c r="O26" s="25"/>
      <c r="P26" s="20"/>
      <c r="Q26" s="25">
        <f t="shared" si="0"/>
        <v>0</v>
      </c>
      <c r="R26" s="28"/>
    </row>
    <row r="27" s="1" customFormat="1" ht="18" customHeight="1" spans="1:18">
      <c r="A27" s="20"/>
      <c r="B27" s="31">
        <v>46040</v>
      </c>
      <c r="C27" s="20" t="s">
        <v>283</v>
      </c>
      <c r="D27" s="22">
        <v>3875144.64</v>
      </c>
      <c r="E27" s="23"/>
      <c r="F27" s="20"/>
      <c r="G27" s="25"/>
      <c r="H27" s="20"/>
      <c r="I27" s="20"/>
      <c r="J27" s="26"/>
      <c r="K27" s="26"/>
      <c r="L27" s="26"/>
      <c r="M27" s="26"/>
      <c r="N27" s="25"/>
      <c r="O27" s="25"/>
      <c r="P27" s="20"/>
      <c r="Q27" s="25">
        <f t="shared" si="0"/>
        <v>0</v>
      </c>
      <c r="R27" s="28"/>
    </row>
    <row r="28" s="1" customFormat="1" ht="18" customHeight="1" spans="1:18">
      <c r="A28" s="20"/>
      <c r="B28" s="31">
        <v>46043</v>
      </c>
      <c r="C28" s="20" t="s">
        <v>284</v>
      </c>
      <c r="D28" s="22">
        <v>2216630</v>
      </c>
      <c r="E28" s="23"/>
      <c r="F28" s="20"/>
      <c r="G28" s="25"/>
      <c r="H28" s="20"/>
      <c r="I28" s="20"/>
      <c r="J28" s="26"/>
      <c r="K28" s="26"/>
      <c r="L28" s="26"/>
      <c r="M28" s="26"/>
      <c r="N28" s="25"/>
      <c r="O28" s="25"/>
      <c r="P28" s="20"/>
      <c r="Q28" s="25">
        <f t="shared" si="0"/>
        <v>0</v>
      </c>
      <c r="R28" s="28"/>
    </row>
    <row r="29" s="1" customFormat="1" ht="18" customHeight="1" spans="1:18">
      <c r="A29" s="20"/>
      <c r="B29" s="31">
        <v>46043</v>
      </c>
      <c r="C29" s="20" t="s">
        <v>285</v>
      </c>
      <c r="D29" s="22">
        <v>1564541.23</v>
      </c>
      <c r="E29" s="23"/>
      <c r="F29" s="20"/>
      <c r="G29" s="25"/>
      <c r="H29" s="20"/>
      <c r="I29" s="20"/>
      <c r="J29" s="26"/>
      <c r="K29" s="26"/>
      <c r="L29" s="26"/>
      <c r="M29" s="26"/>
      <c r="N29" s="25"/>
      <c r="O29" s="25"/>
      <c r="P29" s="20"/>
      <c r="Q29" s="25">
        <f t="shared" si="0"/>
        <v>0</v>
      </c>
      <c r="R29" s="28"/>
    </row>
    <row r="30" s="1" customFormat="1" ht="18" customHeight="1" spans="1:18">
      <c r="A30" s="20"/>
      <c r="B30" s="31">
        <v>46043</v>
      </c>
      <c r="C30" s="20" t="s">
        <v>286</v>
      </c>
      <c r="D30" s="22">
        <v>7817382</v>
      </c>
      <c r="E30" s="23"/>
      <c r="F30" s="20"/>
      <c r="G30" s="25"/>
      <c r="H30" s="20"/>
      <c r="I30" s="20"/>
      <c r="J30" s="26"/>
      <c r="K30" s="26"/>
      <c r="L30" s="26"/>
      <c r="M30" s="26"/>
      <c r="N30" s="25"/>
      <c r="O30" s="25"/>
      <c r="P30" s="20"/>
      <c r="Q30" s="25">
        <f t="shared" si="0"/>
        <v>0</v>
      </c>
      <c r="R30" s="28"/>
    </row>
    <row r="31" s="1" customFormat="1" ht="18" customHeight="1" spans="1:18">
      <c r="A31" s="20"/>
      <c r="B31" s="31">
        <v>46044</v>
      </c>
      <c r="C31" s="20" t="s">
        <v>287</v>
      </c>
      <c r="D31" s="22">
        <v>6441731</v>
      </c>
      <c r="E31" s="23"/>
      <c r="F31" s="20"/>
      <c r="G31" s="25"/>
      <c r="H31" s="20"/>
      <c r="I31" s="20"/>
      <c r="J31" s="26"/>
      <c r="K31" s="26"/>
      <c r="L31" s="26"/>
      <c r="M31" s="26"/>
      <c r="N31" s="25"/>
      <c r="O31" s="25"/>
      <c r="P31" s="20"/>
      <c r="Q31" s="25">
        <f t="shared" si="0"/>
        <v>0</v>
      </c>
      <c r="R31" s="28"/>
    </row>
    <row r="32" s="1" customFormat="1" ht="18" customHeight="1" spans="1:18">
      <c r="A32" s="20"/>
      <c r="B32" s="31">
        <v>46044</v>
      </c>
      <c r="C32" s="20" t="s">
        <v>288</v>
      </c>
      <c r="D32" s="22">
        <v>1848718.67</v>
      </c>
      <c r="E32" s="23"/>
      <c r="F32" s="20"/>
      <c r="G32" s="25"/>
      <c r="H32" s="20"/>
      <c r="I32" s="20"/>
      <c r="J32" s="26"/>
      <c r="K32" s="26"/>
      <c r="L32" s="26"/>
      <c r="M32" s="26"/>
      <c r="N32" s="25"/>
      <c r="O32" s="25"/>
      <c r="P32" s="20"/>
      <c r="Q32" s="25">
        <f t="shared" si="0"/>
        <v>0</v>
      </c>
      <c r="R32" s="28"/>
    </row>
    <row r="33" s="1" customFormat="1" ht="18" customHeight="1" spans="1:18">
      <c r="A33" s="20"/>
      <c r="B33" s="31">
        <v>46044</v>
      </c>
      <c r="C33" s="20" t="s">
        <v>289</v>
      </c>
      <c r="D33" s="22">
        <v>189000</v>
      </c>
      <c r="E33" s="23"/>
      <c r="F33" s="20"/>
      <c r="G33" s="25"/>
      <c r="H33" s="20"/>
      <c r="I33" s="20"/>
      <c r="J33" s="26"/>
      <c r="K33" s="26"/>
      <c r="L33" s="26"/>
      <c r="M33" s="26"/>
      <c r="N33" s="25"/>
      <c r="O33" s="25"/>
      <c r="P33" s="20"/>
      <c r="Q33" s="25">
        <f t="shared" si="0"/>
        <v>0</v>
      </c>
      <c r="R33" s="28"/>
    </row>
    <row r="34" s="1" customFormat="1" ht="18" customHeight="1" spans="1:18">
      <c r="A34" s="20"/>
      <c r="B34" s="31">
        <v>46044</v>
      </c>
      <c r="C34" s="20" t="s">
        <v>290</v>
      </c>
      <c r="D34" s="22">
        <v>10000000</v>
      </c>
      <c r="E34" s="23"/>
      <c r="F34" s="20"/>
      <c r="G34" s="25"/>
      <c r="H34" s="20"/>
      <c r="I34" s="20"/>
      <c r="J34" s="26"/>
      <c r="K34" s="26"/>
      <c r="L34" s="26"/>
      <c r="M34" s="26"/>
      <c r="N34" s="25"/>
      <c r="O34" s="25"/>
      <c r="P34" s="20"/>
      <c r="Q34" s="25">
        <f t="shared" si="0"/>
        <v>0</v>
      </c>
      <c r="R34" s="28"/>
    </row>
    <row r="35" s="1" customFormat="1" ht="18" customHeight="1" spans="1:18">
      <c r="A35" s="20"/>
      <c r="B35" s="31">
        <v>46046</v>
      </c>
      <c r="C35" s="20" t="s">
        <v>291</v>
      </c>
      <c r="D35" s="22">
        <v>4204000</v>
      </c>
      <c r="E35" s="23"/>
      <c r="F35" s="20"/>
      <c r="G35" s="25"/>
      <c r="H35" s="20"/>
      <c r="I35" s="20"/>
      <c r="J35" s="26"/>
      <c r="K35" s="26"/>
      <c r="L35" s="26"/>
      <c r="M35" s="26"/>
      <c r="N35" s="25"/>
      <c r="O35" s="25"/>
      <c r="P35" s="20"/>
      <c r="Q35" s="25">
        <f t="shared" si="0"/>
        <v>0</v>
      </c>
      <c r="R35" s="28"/>
    </row>
    <row r="36" s="1" customFormat="1" ht="18" customHeight="1" spans="1:18">
      <c r="A36" s="20"/>
      <c r="B36" s="31">
        <v>46046</v>
      </c>
      <c r="C36" s="20" t="s">
        <v>292</v>
      </c>
      <c r="D36" s="22">
        <v>10800000</v>
      </c>
      <c r="E36" s="23"/>
      <c r="F36" s="20"/>
      <c r="G36" s="25"/>
      <c r="H36" s="20"/>
      <c r="I36" s="20"/>
      <c r="J36" s="26"/>
      <c r="K36" s="26"/>
      <c r="L36" s="26"/>
      <c r="M36" s="26"/>
      <c r="N36" s="25"/>
      <c r="O36" s="25"/>
      <c r="P36" s="20"/>
      <c r="Q36" s="25">
        <f t="shared" si="0"/>
        <v>0</v>
      </c>
      <c r="R36" s="28"/>
    </row>
    <row r="37" s="1" customFormat="1" ht="18" customHeight="1" spans="1:18">
      <c r="A37" s="20"/>
      <c r="B37" s="31">
        <v>46049</v>
      </c>
      <c r="C37" s="20" t="s">
        <v>293</v>
      </c>
      <c r="D37" s="22"/>
      <c r="E37" s="23">
        <v>1120</v>
      </c>
      <c r="F37" s="20"/>
      <c r="G37" s="25"/>
      <c r="H37" s="20"/>
      <c r="I37" s="20"/>
      <c r="J37" s="26"/>
      <c r="K37" s="26"/>
      <c r="L37" s="27"/>
      <c r="M37" s="27"/>
      <c r="N37" s="25"/>
      <c r="O37" s="25"/>
      <c r="P37" s="20"/>
      <c r="Q37" s="25">
        <f t="shared" si="0"/>
        <v>0</v>
      </c>
      <c r="R37" s="28"/>
    </row>
    <row r="38" s="1" customFormat="1" ht="18" customHeight="1" spans="1:18">
      <c r="A38" s="20"/>
      <c r="B38" s="31">
        <v>46056</v>
      </c>
      <c r="C38" s="20" t="s">
        <v>294</v>
      </c>
      <c r="D38" s="22">
        <v>2170000</v>
      </c>
      <c r="E38" s="23"/>
      <c r="F38" s="20"/>
      <c r="G38" s="25"/>
      <c r="H38" s="20"/>
      <c r="I38" s="20"/>
      <c r="J38" s="26"/>
      <c r="K38" s="26"/>
      <c r="L38" s="26"/>
      <c r="M38" s="26"/>
      <c r="N38" s="25"/>
      <c r="O38" s="25"/>
      <c r="P38" s="20"/>
      <c r="Q38" s="25">
        <f t="shared" si="0"/>
        <v>0</v>
      </c>
      <c r="R38" s="28"/>
    </row>
    <row r="39" s="1" customFormat="1" ht="18" customHeight="1" spans="1:18">
      <c r="A39" s="20"/>
      <c r="B39" s="31">
        <v>46056</v>
      </c>
      <c r="C39" s="20" t="s">
        <v>295</v>
      </c>
      <c r="D39" s="22">
        <v>17600000</v>
      </c>
      <c r="E39" s="23"/>
      <c r="F39" s="20"/>
      <c r="G39" s="25"/>
      <c r="H39" s="20"/>
      <c r="I39" s="20"/>
      <c r="J39" s="26"/>
      <c r="K39" s="26"/>
      <c r="L39" s="26"/>
      <c r="M39" s="26"/>
      <c r="N39" s="25"/>
      <c r="O39" s="25"/>
      <c r="P39" s="20"/>
      <c r="Q39" s="25">
        <f t="shared" si="0"/>
        <v>0</v>
      </c>
      <c r="R39" s="28"/>
    </row>
    <row r="40" s="1" customFormat="1" ht="18" customHeight="1" spans="1:18">
      <c r="A40" s="20"/>
      <c r="B40" s="31">
        <v>46056</v>
      </c>
      <c r="C40" s="20" t="s">
        <v>296</v>
      </c>
      <c r="D40" s="22">
        <v>9000000</v>
      </c>
      <c r="E40" s="23"/>
      <c r="F40" s="20"/>
      <c r="G40" s="25"/>
      <c r="H40" s="20"/>
      <c r="I40" s="20"/>
      <c r="J40" s="26"/>
      <c r="K40" s="26"/>
      <c r="L40" s="26"/>
      <c r="M40" s="26"/>
      <c r="N40" s="25"/>
      <c r="O40" s="25"/>
      <c r="P40" s="20"/>
      <c r="Q40" s="25">
        <f t="shared" si="0"/>
        <v>0</v>
      </c>
      <c r="R40" s="28"/>
    </row>
    <row r="41" s="1" customFormat="1" ht="18" customHeight="1" spans="1:18">
      <c r="A41" s="20"/>
      <c r="B41" s="31">
        <v>46056</v>
      </c>
      <c r="C41" s="20" t="s">
        <v>297</v>
      </c>
      <c r="D41" s="22">
        <v>27104000</v>
      </c>
      <c r="E41" s="23"/>
      <c r="F41" s="20"/>
      <c r="G41" s="25"/>
      <c r="H41" s="20"/>
      <c r="I41" s="20"/>
      <c r="J41" s="26"/>
      <c r="K41" s="26"/>
      <c r="L41" s="26"/>
      <c r="M41" s="26"/>
      <c r="N41" s="25"/>
      <c r="O41" s="25"/>
      <c r="P41" s="20"/>
      <c r="Q41" s="25">
        <f t="shared" si="0"/>
        <v>0</v>
      </c>
      <c r="R41" s="28"/>
    </row>
    <row r="42" s="1" customFormat="1" ht="18" customHeight="1" spans="1:18">
      <c r="A42" s="20"/>
      <c r="B42" s="31">
        <v>46056</v>
      </c>
      <c r="C42" s="20" t="s">
        <v>298</v>
      </c>
      <c r="D42" s="22">
        <v>9865007</v>
      </c>
      <c r="E42" s="23"/>
      <c r="F42" s="20"/>
      <c r="G42" s="25"/>
      <c r="H42" s="20"/>
      <c r="I42" s="20"/>
      <c r="J42" s="26"/>
      <c r="K42" s="26"/>
      <c r="L42" s="26"/>
      <c r="M42" s="26"/>
      <c r="N42" s="25"/>
      <c r="O42" s="25"/>
      <c r="P42" s="20"/>
      <c r="Q42" s="25">
        <f t="shared" si="0"/>
        <v>0</v>
      </c>
      <c r="R42" s="28"/>
    </row>
    <row r="43" s="1" customFormat="1" ht="18" customHeight="1" spans="1:18">
      <c r="A43" s="20"/>
      <c r="B43" s="31">
        <v>46056</v>
      </c>
      <c r="C43" s="20" t="s">
        <v>299</v>
      </c>
      <c r="D43" s="22">
        <v>2590000</v>
      </c>
      <c r="E43" s="23"/>
      <c r="F43" s="20"/>
      <c r="G43" s="25"/>
      <c r="H43" s="20"/>
      <c r="I43" s="20"/>
      <c r="J43" s="26"/>
      <c r="K43" s="26"/>
      <c r="L43" s="26"/>
      <c r="M43" s="26"/>
      <c r="N43" s="25"/>
      <c r="O43" s="25"/>
      <c r="P43" s="20"/>
      <c r="Q43" s="25">
        <f t="shared" si="0"/>
        <v>0</v>
      </c>
      <c r="R43" s="28"/>
    </row>
    <row r="44" s="1" customFormat="1" ht="18" customHeight="1" spans="1:18">
      <c r="A44" s="20"/>
      <c r="B44" s="31">
        <v>46056</v>
      </c>
      <c r="C44" s="20" t="s">
        <v>300</v>
      </c>
      <c r="D44" s="22">
        <v>3172000</v>
      </c>
      <c r="E44" s="23"/>
      <c r="F44" s="20"/>
      <c r="G44" s="25"/>
      <c r="H44" s="20"/>
      <c r="I44" s="20"/>
      <c r="J44" s="26"/>
      <c r="K44" s="26"/>
      <c r="L44" s="26"/>
      <c r="M44" s="26"/>
      <c r="N44" s="25"/>
      <c r="O44" s="25"/>
      <c r="P44" s="20"/>
      <c r="Q44" s="25">
        <f t="shared" si="0"/>
        <v>0</v>
      </c>
      <c r="R44" s="28"/>
    </row>
    <row r="45" s="1" customFormat="1" ht="18" customHeight="1" spans="1:18">
      <c r="A45" s="20"/>
      <c r="B45" s="31">
        <v>46056</v>
      </c>
      <c r="C45" s="20" t="s">
        <v>301</v>
      </c>
      <c r="D45" s="22">
        <v>5541100</v>
      </c>
      <c r="E45" s="23"/>
      <c r="F45" s="20"/>
      <c r="G45" s="25"/>
      <c r="H45" s="20"/>
      <c r="I45" s="20"/>
      <c r="J45" s="26"/>
      <c r="K45" s="26"/>
      <c r="L45" s="26"/>
      <c r="M45" s="26"/>
      <c r="N45" s="25"/>
      <c r="O45" s="25"/>
      <c r="P45" s="20"/>
      <c r="Q45" s="25">
        <f t="shared" si="0"/>
        <v>0</v>
      </c>
      <c r="R45" s="28"/>
    </row>
    <row r="46" s="1" customFormat="1" ht="18" customHeight="1" spans="1:18">
      <c r="A46" s="20"/>
      <c r="B46" s="31">
        <v>46056</v>
      </c>
      <c r="C46" s="20" t="s">
        <v>302</v>
      </c>
      <c r="D46" s="22">
        <v>6131100</v>
      </c>
      <c r="E46" s="23"/>
      <c r="F46" s="20"/>
      <c r="G46" s="25"/>
      <c r="H46" s="20"/>
      <c r="I46" s="20"/>
      <c r="J46" s="26"/>
      <c r="K46" s="26"/>
      <c r="L46" s="26"/>
      <c r="M46" s="26"/>
      <c r="N46" s="25"/>
      <c r="O46" s="25"/>
      <c r="P46" s="20"/>
      <c r="Q46" s="25">
        <f t="shared" si="0"/>
        <v>0</v>
      </c>
      <c r="R46" s="28"/>
    </row>
    <row r="47" s="1" customFormat="1" ht="18" customHeight="1" spans="1:18">
      <c r="A47" s="20"/>
      <c r="B47" s="21">
        <v>46057</v>
      </c>
      <c r="C47" s="20" t="s">
        <v>303</v>
      </c>
      <c r="D47" s="22">
        <v>43080000</v>
      </c>
      <c r="E47" s="23"/>
      <c r="F47" s="20"/>
      <c r="G47" s="25"/>
      <c r="H47" s="20"/>
      <c r="I47" s="20"/>
      <c r="J47" s="26"/>
      <c r="K47" s="26"/>
      <c r="L47" s="26"/>
      <c r="M47" s="26"/>
      <c r="N47" s="25"/>
      <c r="O47" s="25"/>
      <c r="P47" s="20"/>
      <c r="Q47" s="25">
        <f t="shared" si="0"/>
        <v>0</v>
      </c>
      <c r="R47" s="28"/>
    </row>
    <row r="48" s="1" customFormat="1" ht="18" customHeight="1" spans="1:18">
      <c r="A48" s="20"/>
      <c r="B48" s="31">
        <v>46063</v>
      </c>
      <c r="C48" s="20" t="s">
        <v>304</v>
      </c>
      <c r="D48" s="22">
        <v>280000</v>
      </c>
      <c r="E48" s="23"/>
      <c r="F48" s="20"/>
      <c r="G48" s="25"/>
      <c r="H48" s="20"/>
      <c r="I48" s="20"/>
      <c r="J48" s="26"/>
      <c r="K48" s="26"/>
      <c r="L48" s="26"/>
      <c r="M48" s="26"/>
      <c r="N48" s="25"/>
      <c r="O48" s="25"/>
      <c r="P48" s="20"/>
      <c r="Q48" s="25">
        <f t="shared" si="0"/>
        <v>0</v>
      </c>
      <c r="R48" s="28"/>
    </row>
    <row r="49" s="1" customFormat="1" ht="18" customHeight="1" spans="1:18">
      <c r="A49" s="20"/>
      <c r="B49" s="31">
        <v>46066</v>
      </c>
      <c r="C49" s="20" t="s">
        <v>305</v>
      </c>
      <c r="D49" s="22">
        <v>27186</v>
      </c>
      <c r="E49" s="23"/>
      <c r="F49" s="20"/>
      <c r="G49" s="25"/>
      <c r="H49" s="20"/>
      <c r="I49" s="20"/>
      <c r="J49" s="26"/>
      <c r="K49" s="26"/>
      <c r="L49" s="26"/>
      <c r="M49" s="26"/>
      <c r="N49" s="25"/>
      <c r="O49" s="25"/>
      <c r="P49" s="20"/>
      <c r="Q49" s="25">
        <f t="shared" si="0"/>
        <v>0</v>
      </c>
      <c r="R49" s="28"/>
    </row>
    <row r="50" s="1" customFormat="1" ht="18" customHeight="1" spans="1:18">
      <c r="A50" s="20"/>
      <c r="B50" s="31">
        <v>46066</v>
      </c>
      <c r="C50" s="20" t="s">
        <v>306</v>
      </c>
      <c r="D50" s="22">
        <v>33619</v>
      </c>
      <c r="E50" s="23"/>
      <c r="F50" s="20"/>
      <c r="G50" s="25"/>
      <c r="H50" s="20"/>
      <c r="I50" s="20"/>
      <c r="J50" s="26"/>
      <c r="K50" s="26"/>
      <c r="L50" s="26"/>
      <c r="M50" s="26"/>
      <c r="N50" s="25"/>
      <c r="O50" s="25"/>
      <c r="P50" s="20"/>
      <c r="Q50" s="25">
        <f t="shared" si="0"/>
        <v>0</v>
      </c>
      <c r="R50" s="28"/>
    </row>
    <row r="51" s="1" customFormat="1" ht="18" customHeight="1" spans="1:18">
      <c r="A51" s="20"/>
      <c r="B51" s="31">
        <v>46066</v>
      </c>
      <c r="C51" s="20" t="s">
        <v>307</v>
      </c>
      <c r="D51" s="22">
        <v>64493</v>
      </c>
      <c r="E51" s="23"/>
      <c r="F51" s="20"/>
      <c r="G51" s="25"/>
      <c r="H51" s="20"/>
      <c r="I51" s="20"/>
      <c r="J51" s="26"/>
      <c r="K51" s="26"/>
      <c r="L51" s="26"/>
      <c r="M51" s="26"/>
      <c r="N51" s="25"/>
      <c r="O51" s="25"/>
      <c r="P51" s="20"/>
      <c r="Q51" s="25">
        <f t="shared" si="0"/>
        <v>0</v>
      </c>
      <c r="R51" s="28"/>
    </row>
    <row r="52" s="1" customFormat="1" ht="18" customHeight="1" spans="1:18">
      <c r="A52" s="20"/>
      <c r="B52" s="31">
        <v>46066</v>
      </c>
      <c r="C52" s="20" t="s">
        <v>308</v>
      </c>
      <c r="D52" s="22">
        <v>25720</v>
      </c>
      <c r="E52" s="23"/>
      <c r="F52" s="20"/>
      <c r="G52" s="25"/>
      <c r="H52" s="20"/>
      <c r="I52" s="20"/>
      <c r="J52" s="26"/>
      <c r="K52" s="26"/>
      <c r="L52" s="26"/>
      <c r="M52" s="26"/>
      <c r="N52" s="25"/>
      <c r="O52" s="25"/>
      <c r="P52" s="20"/>
      <c r="Q52" s="25">
        <f t="shared" si="0"/>
        <v>0</v>
      </c>
      <c r="R52" s="28"/>
    </row>
    <row r="53" s="1" customFormat="1" ht="18" customHeight="1" spans="1:18">
      <c r="A53" s="20"/>
      <c r="B53" s="31">
        <v>46067</v>
      </c>
      <c r="C53" s="20" t="s">
        <v>309</v>
      </c>
      <c r="D53" s="22">
        <v>180000</v>
      </c>
      <c r="E53" s="23"/>
      <c r="F53" s="20"/>
      <c r="G53" s="25"/>
      <c r="H53" s="20"/>
      <c r="I53" s="20"/>
      <c r="J53" s="26"/>
      <c r="K53" s="26"/>
      <c r="L53" s="26"/>
      <c r="M53" s="26"/>
      <c r="N53" s="25"/>
      <c r="O53" s="25"/>
      <c r="P53" s="20"/>
      <c r="Q53" s="25">
        <f t="shared" si="0"/>
        <v>0</v>
      </c>
      <c r="R53" s="28"/>
    </row>
    <row r="54" s="1" customFormat="1" ht="18" customHeight="1" spans="1:18">
      <c r="A54" s="20"/>
      <c r="B54" s="31">
        <v>46067</v>
      </c>
      <c r="C54" s="20" t="s">
        <v>310</v>
      </c>
      <c r="D54" s="22">
        <v>25654</v>
      </c>
      <c r="E54" s="23"/>
      <c r="F54" s="20"/>
      <c r="G54" s="25"/>
      <c r="H54" s="20"/>
      <c r="I54" s="20"/>
      <c r="J54" s="26"/>
      <c r="K54" s="26"/>
      <c r="L54" s="26"/>
      <c r="M54" s="26"/>
      <c r="N54" s="25"/>
      <c r="O54" s="25"/>
      <c r="P54" s="20"/>
      <c r="Q54" s="25">
        <f t="shared" si="0"/>
        <v>0</v>
      </c>
      <c r="R54" s="28"/>
    </row>
    <row r="55" s="1" customFormat="1" ht="18" customHeight="1" spans="1:18">
      <c r="A55" s="20"/>
      <c r="B55" s="31">
        <v>46067</v>
      </c>
      <c r="C55" s="20" t="s">
        <v>311</v>
      </c>
      <c r="D55" s="22">
        <v>10000000</v>
      </c>
      <c r="E55" s="23"/>
      <c r="F55" s="20"/>
      <c r="G55" s="25"/>
      <c r="H55" s="20"/>
      <c r="I55" s="20"/>
      <c r="J55" s="26"/>
      <c r="K55" s="26"/>
      <c r="L55" s="26"/>
      <c r="M55" s="26"/>
      <c r="N55" s="25"/>
      <c r="O55" s="25"/>
      <c r="P55" s="20"/>
      <c r="Q55" s="25">
        <f t="shared" si="0"/>
        <v>0</v>
      </c>
      <c r="R55" s="28"/>
    </row>
    <row r="56" s="1" customFormat="1" ht="18" customHeight="1" spans="1:18">
      <c r="A56" s="20"/>
      <c r="B56" s="31">
        <v>46067</v>
      </c>
      <c r="C56" s="20" t="s">
        <v>312</v>
      </c>
      <c r="D56" s="22">
        <v>25693</v>
      </c>
      <c r="E56" s="23"/>
      <c r="F56" s="20"/>
      <c r="G56" s="25"/>
      <c r="H56" s="20"/>
      <c r="I56" s="20"/>
      <c r="J56" s="26"/>
      <c r="K56" s="26"/>
      <c r="L56" s="26"/>
      <c r="M56" s="26"/>
      <c r="N56" s="25"/>
      <c r="O56" s="25"/>
      <c r="P56" s="20"/>
      <c r="Q56" s="25">
        <f t="shared" si="0"/>
        <v>0</v>
      </c>
      <c r="R56" s="28"/>
    </row>
    <row r="57" s="1" customFormat="1" ht="18" customHeight="1" spans="1:18">
      <c r="A57" s="20"/>
      <c r="B57" s="31">
        <v>46067</v>
      </c>
      <c r="C57" s="20" t="s">
        <v>313</v>
      </c>
      <c r="D57" s="22">
        <v>20000000</v>
      </c>
      <c r="E57" s="23"/>
      <c r="F57" s="20"/>
      <c r="G57" s="25"/>
      <c r="H57" s="20"/>
      <c r="I57" s="20"/>
      <c r="J57" s="26"/>
      <c r="K57" s="26"/>
      <c r="L57" s="26"/>
      <c r="M57" s="26"/>
      <c r="N57" s="25"/>
      <c r="O57" s="25"/>
      <c r="P57" s="20"/>
      <c r="Q57" s="25">
        <f t="shared" si="0"/>
        <v>0</v>
      </c>
      <c r="R57" s="28"/>
    </row>
    <row r="58" s="1" customFormat="1" ht="18" customHeight="1" spans="1:18">
      <c r="A58" s="20"/>
      <c r="B58" s="31">
        <v>46070</v>
      </c>
      <c r="C58" s="20" t="s">
        <v>314</v>
      </c>
      <c r="D58" s="22">
        <v>23796492</v>
      </c>
      <c r="E58" s="23"/>
      <c r="F58" s="20"/>
      <c r="G58" s="25"/>
      <c r="H58" s="20"/>
      <c r="I58" s="20"/>
      <c r="J58" s="26"/>
      <c r="K58" s="26"/>
      <c r="L58" s="27"/>
      <c r="M58" s="27"/>
      <c r="N58" s="25"/>
      <c r="O58" s="25"/>
      <c r="P58" s="20"/>
      <c r="Q58" s="25">
        <f t="shared" si="0"/>
        <v>0</v>
      </c>
      <c r="R58" s="28"/>
    </row>
    <row r="59" s="1" customFormat="1" ht="18" customHeight="1" spans="1:18">
      <c r="A59" s="20"/>
      <c r="B59" s="31">
        <v>46070</v>
      </c>
      <c r="C59" s="20" t="s">
        <v>312</v>
      </c>
      <c r="D59" s="22">
        <v>104394597</v>
      </c>
      <c r="E59" s="23"/>
      <c r="F59" s="20"/>
      <c r="G59" s="25"/>
      <c r="H59" s="20"/>
      <c r="I59" s="20"/>
      <c r="J59" s="26"/>
      <c r="K59" s="26"/>
      <c r="L59" s="26"/>
      <c r="M59" s="26"/>
      <c r="N59" s="25"/>
      <c r="O59" s="25"/>
      <c r="P59" s="20"/>
      <c r="Q59" s="25">
        <f t="shared" si="0"/>
        <v>0</v>
      </c>
      <c r="R59" s="28"/>
    </row>
    <row r="60" s="1" customFormat="1" ht="18" customHeight="1" spans="1:18">
      <c r="A60" s="20"/>
      <c r="B60" s="31">
        <v>46070</v>
      </c>
      <c r="C60" s="20" t="s">
        <v>315</v>
      </c>
      <c r="D60" s="22">
        <v>80000</v>
      </c>
      <c r="E60" s="23"/>
      <c r="F60" s="20"/>
      <c r="G60" s="25"/>
      <c r="H60" s="20"/>
      <c r="I60" s="20"/>
      <c r="J60" s="26"/>
      <c r="K60" s="26"/>
      <c r="L60" s="26"/>
      <c r="M60" s="26"/>
      <c r="N60" s="25"/>
      <c r="O60" s="25"/>
      <c r="P60" s="20"/>
      <c r="Q60" s="25">
        <f t="shared" si="0"/>
        <v>0</v>
      </c>
      <c r="R60" s="28"/>
    </row>
    <row r="61" s="1" customFormat="1" ht="18" customHeight="1" spans="1:18">
      <c r="A61" s="20"/>
      <c r="B61" s="31">
        <v>46072</v>
      </c>
      <c r="C61" s="20" t="s">
        <v>316</v>
      </c>
      <c r="D61" s="22">
        <v>167314</v>
      </c>
      <c r="E61" s="23"/>
      <c r="F61" s="20"/>
      <c r="G61" s="25"/>
      <c r="H61" s="20"/>
      <c r="I61" s="20"/>
      <c r="J61" s="26"/>
      <c r="K61" s="26"/>
      <c r="L61" s="26"/>
      <c r="M61" s="26"/>
      <c r="N61" s="25"/>
      <c r="O61" s="25"/>
      <c r="P61" s="20"/>
      <c r="Q61" s="25">
        <f t="shared" si="0"/>
        <v>0</v>
      </c>
      <c r="R61" s="28"/>
    </row>
    <row r="62" s="1" customFormat="1" ht="18" customHeight="1" spans="1:18">
      <c r="A62" s="20"/>
      <c r="B62" s="21">
        <v>46082</v>
      </c>
      <c r="C62" s="20" t="s">
        <v>317</v>
      </c>
      <c r="D62" s="22">
        <v>22000</v>
      </c>
      <c r="E62" s="23"/>
      <c r="F62" s="20"/>
      <c r="G62" s="25"/>
      <c r="H62" s="20"/>
      <c r="I62" s="20"/>
      <c r="J62" s="26"/>
      <c r="K62" s="26"/>
      <c r="L62" s="26"/>
      <c r="M62" s="26"/>
      <c r="N62" s="25"/>
      <c r="O62" s="25"/>
      <c r="P62" s="20"/>
      <c r="Q62" s="25">
        <f t="shared" si="0"/>
        <v>0</v>
      </c>
      <c r="R62" s="28"/>
    </row>
    <row r="63" s="1" customFormat="1" ht="18" customHeight="1" spans="1:18">
      <c r="A63" s="20"/>
      <c r="B63" s="31">
        <v>46083</v>
      </c>
      <c r="C63" s="20" t="s">
        <v>318</v>
      </c>
      <c r="D63" s="22">
        <v>10000000</v>
      </c>
      <c r="E63" s="23"/>
      <c r="F63" s="20"/>
      <c r="G63" s="25"/>
      <c r="H63" s="20"/>
      <c r="I63" s="20"/>
      <c r="J63" s="26"/>
      <c r="K63" s="26"/>
      <c r="L63" s="26"/>
      <c r="M63" s="26"/>
      <c r="N63" s="25"/>
      <c r="O63" s="25"/>
      <c r="P63" s="20"/>
      <c r="Q63" s="25">
        <f t="shared" si="0"/>
        <v>0</v>
      </c>
      <c r="R63" s="28"/>
    </row>
    <row r="64" s="1" customFormat="1" ht="18" customHeight="1" spans="1:18">
      <c r="A64" s="20"/>
      <c r="B64" s="31">
        <v>46083</v>
      </c>
      <c r="C64" s="20" t="s">
        <v>319</v>
      </c>
      <c r="D64" s="22">
        <v>29558776</v>
      </c>
      <c r="E64" s="23"/>
      <c r="F64" s="20"/>
      <c r="G64" s="25"/>
      <c r="H64" s="20"/>
      <c r="I64" s="20"/>
      <c r="J64" s="26"/>
      <c r="K64" s="26"/>
      <c r="L64" s="26"/>
      <c r="M64" s="26"/>
      <c r="N64" s="25"/>
      <c r="O64" s="25"/>
      <c r="P64" s="20"/>
      <c r="Q64" s="25">
        <f t="shared" si="0"/>
        <v>0</v>
      </c>
      <c r="R64" s="28"/>
    </row>
    <row r="65" s="1" customFormat="1" ht="18" customHeight="1" spans="1:18">
      <c r="A65" s="20"/>
      <c r="B65" s="31">
        <v>46083</v>
      </c>
      <c r="C65" s="20" t="s">
        <v>320</v>
      </c>
      <c r="D65" s="22">
        <v>21772501</v>
      </c>
      <c r="E65" s="23"/>
      <c r="F65" s="20"/>
      <c r="G65" s="25"/>
      <c r="H65" s="20"/>
      <c r="I65" s="20"/>
      <c r="J65" s="26"/>
      <c r="K65" s="26"/>
      <c r="L65" s="26"/>
      <c r="M65" s="26"/>
      <c r="N65" s="25"/>
      <c r="O65" s="25"/>
      <c r="P65" s="20"/>
      <c r="Q65" s="25">
        <f t="shared" si="0"/>
        <v>0</v>
      </c>
      <c r="R65" s="28"/>
    </row>
    <row r="66" s="1" customFormat="1" ht="18" customHeight="1" spans="1:18">
      <c r="A66" s="20"/>
      <c r="B66" s="31">
        <v>46083</v>
      </c>
      <c r="C66" s="20" t="s">
        <v>321</v>
      </c>
      <c r="D66" s="22">
        <v>3152625.95</v>
      </c>
      <c r="E66" s="23"/>
      <c r="F66" s="20"/>
      <c r="G66" s="25"/>
      <c r="H66" s="20"/>
      <c r="I66" s="20"/>
      <c r="J66" s="26"/>
      <c r="K66" s="26"/>
      <c r="L66" s="26"/>
      <c r="M66" s="26"/>
      <c r="N66" s="25"/>
      <c r="O66" s="25"/>
      <c r="P66" s="20"/>
      <c r="Q66" s="25">
        <f t="shared" si="0"/>
        <v>0</v>
      </c>
      <c r="R66" s="28"/>
    </row>
    <row r="67" s="1" customFormat="1" ht="18" customHeight="1" spans="1:18">
      <c r="A67" s="20"/>
      <c r="B67" s="31">
        <v>46086</v>
      </c>
      <c r="C67" s="20" t="s">
        <v>322</v>
      </c>
      <c r="D67" s="22">
        <v>710000</v>
      </c>
      <c r="E67" s="23"/>
      <c r="F67" s="20"/>
      <c r="G67" s="25"/>
      <c r="H67" s="20"/>
      <c r="I67" s="20"/>
      <c r="J67" s="26"/>
      <c r="K67" s="26"/>
      <c r="L67" s="26"/>
      <c r="M67" s="26"/>
      <c r="N67" s="25"/>
      <c r="O67" s="25"/>
      <c r="P67" s="20"/>
      <c r="Q67" s="25">
        <f t="shared" ref="Q67:Q94" si="1">J67*P67</f>
        <v>0</v>
      </c>
      <c r="R67" s="28"/>
    </row>
    <row r="68" s="1" customFormat="1" ht="18" customHeight="1" spans="1:18">
      <c r="A68" s="20"/>
      <c r="B68" s="31">
        <v>46086</v>
      </c>
      <c r="C68" s="20" t="s">
        <v>323</v>
      </c>
      <c r="D68" s="22">
        <v>700000</v>
      </c>
      <c r="E68" s="23"/>
      <c r="F68" s="20"/>
      <c r="G68" s="25"/>
      <c r="H68" s="20"/>
      <c r="I68" s="20"/>
      <c r="J68" s="26"/>
      <c r="K68" s="26"/>
      <c r="L68" s="26"/>
      <c r="M68" s="26"/>
      <c r="N68" s="25"/>
      <c r="O68" s="25"/>
      <c r="P68" s="20"/>
      <c r="Q68" s="25">
        <f t="shared" si="1"/>
        <v>0</v>
      </c>
      <c r="R68" s="28"/>
    </row>
    <row r="69" s="1" customFormat="1" ht="18" customHeight="1" spans="1:18">
      <c r="A69" s="20"/>
      <c r="B69" s="31">
        <v>46087</v>
      </c>
      <c r="C69" s="20" t="s">
        <v>324</v>
      </c>
      <c r="D69" s="22">
        <v>4665500</v>
      </c>
      <c r="E69" s="23"/>
      <c r="F69" s="20"/>
      <c r="G69" s="25"/>
      <c r="H69" s="20"/>
      <c r="I69" s="20"/>
      <c r="J69" s="26"/>
      <c r="K69" s="26"/>
      <c r="L69" s="26"/>
      <c r="M69" s="26"/>
      <c r="N69" s="25"/>
      <c r="O69" s="25"/>
      <c r="P69" s="20"/>
      <c r="Q69" s="25">
        <f t="shared" si="1"/>
        <v>0</v>
      </c>
      <c r="R69" s="28"/>
    </row>
    <row r="70" s="1" customFormat="1" ht="18" customHeight="1" spans="1:18">
      <c r="A70" s="20"/>
      <c r="B70" s="31">
        <v>46087</v>
      </c>
      <c r="C70" s="20" t="s">
        <v>325</v>
      </c>
      <c r="D70" s="22">
        <v>40000</v>
      </c>
      <c r="E70" s="23"/>
      <c r="F70" s="20"/>
      <c r="G70" s="25"/>
      <c r="H70" s="20"/>
      <c r="I70" s="20"/>
      <c r="J70" s="26"/>
      <c r="K70" s="26"/>
      <c r="L70" s="26"/>
      <c r="M70" s="26"/>
      <c r="N70" s="25"/>
      <c r="O70" s="25"/>
      <c r="P70" s="20"/>
      <c r="Q70" s="25">
        <f t="shared" si="1"/>
        <v>0</v>
      </c>
      <c r="R70" s="28"/>
    </row>
    <row r="71" s="1" customFormat="1" ht="18" customHeight="1" spans="1:18">
      <c r="A71" s="20"/>
      <c r="B71" s="31">
        <v>46090</v>
      </c>
      <c r="C71" s="20" t="s">
        <v>326</v>
      </c>
      <c r="D71" s="22">
        <v>12764000</v>
      </c>
      <c r="E71" s="23"/>
      <c r="F71" s="20"/>
      <c r="G71" s="25"/>
      <c r="H71" s="20"/>
      <c r="I71" s="20"/>
      <c r="J71" s="26"/>
      <c r="K71" s="26"/>
      <c r="L71" s="26"/>
      <c r="M71" s="26"/>
      <c r="N71" s="25"/>
      <c r="O71" s="25"/>
      <c r="P71" s="20"/>
      <c r="Q71" s="25">
        <f t="shared" si="1"/>
        <v>0</v>
      </c>
      <c r="R71" s="28"/>
    </row>
    <row r="72" s="1" customFormat="1" ht="18" customHeight="1" spans="1:18">
      <c r="A72" s="20"/>
      <c r="B72" s="31">
        <v>46090</v>
      </c>
      <c r="C72" s="20" t="s">
        <v>327</v>
      </c>
      <c r="D72" s="22">
        <v>5000000</v>
      </c>
      <c r="E72" s="23"/>
      <c r="F72" s="20"/>
      <c r="G72" s="25"/>
      <c r="H72" s="20"/>
      <c r="I72" s="20"/>
      <c r="J72" s="26"/>
      <c r="K72" s="26"/>
      <c r="L72" s="26"/>
      <c r="M72" s="26"/>
      <c r="N72" s="25"/>
      <c r="O72" s="25"/>
      <c r="P72" s="20"/>
      <c r="Q72" s="25">
        <f t="shared" si="1"/>
        <v>0</v>
      </c>
      <c r="R72" s="28"/>
    </row>
    <row r="73" s="1" customFormat="1" ht="18" customHeight="1" spans="1:18">
      <c r="A73" s="20"/>
      <c r="B73" s="31">
        <v>46090</v>
      </c>
      <c r="C73" s="20" t="s">
        <v>328</v>
      </c>
      <c r="D73" s="22">
        <v>6299000</v>
      </c>
      <c r="E73" s="23"/>
      <c r="F73" s="20"/>
      <c r="G73" s="25"/>
      <c r="H73" s="20"/>
      <c r="I73" s="20"/>
      <c r="J73" s="26"/>
      <c r="K73" s="26"/>
      <c r="L73" s="26"/>
      <c r="M73" s="26"/>
      <c r="N73" s="25"/>
      <c r="O73" s="25"/>
      <c r="P73" s="20"/>
      <c r="Q73" s="25">
        <f t="shared" si="1"/>
        <v>0</v>
      </c>
      <c r="R73" s="28"/>
    </row>
    <row r="74" s="1" customFormat="1" ht="18" customHeight="1" spans="1:18">
      <c r="A74" s="20"/>
      <c r="B74" s="31">
        <v>46090</v>
      </c>
      <c r="C74" s="20" t="s">
        <v>329</v>
      </c>
      <c r="D74" s="22">
        <v>5000000</v>
      </c>
      <c r="E74" s="23"/>
      <c r="F74" s="20"/>
      <c r="G74" s="25"/>
      <c r="H74" s="20"/>
      <c r="I74" s="20"/>
      <c r="J74" s="26"/>
      <c r="K74" s="26"/>
      <c r="L74" s="26"/>
      <c r="M74" s="26"/>
      <c r="N74" s="25"/>
      <c r="O74" s="25"/>
      <c r="P74" s="20"/>
      <c r="Q74" s="25">
        <f t="shared" si="1"/>
        <v>0</v>
      </c>
      <c r="R74" s="28"/>
    </row>
    <row r="75" s="1" customFormat="1" ht="18" customHeight="1" spans="1:18">
      <c r="A75" s="20"/>
      <c r="B75" s="31">
        <v>46090</v>
      </c>
      <c r="C75" s="20" t="s">
        <v>330</v>
      </c>
      <c r="D75" s="22">
        <v>46134</v>
      </c>
      <c r="E75" s="23"/>
      <c r="F75" s="20"/>
      <c r="G75" s="25"/>
      <c r="H75" s="20"/>
      <c r="I75" s="20"/>
      <c r="J75" s="26"/>
      <c r="K75" s="26"/>
      <c r="L75" s="26"/>
      <c r="M75" s="26"/>
      <c r="N75" s="25"/>
      <c r="O75" s="25"/>
      <c r="P75" s="20"/>
      <c r="Q75" s="25">
        <f t="shared" si="1"/>
        <v>0</v>
      </c>
      <c r="R75" s="28"/>
    </row>
    <row r="76" s="1" customFormat="1" ht="18" customHeight="1" spans="1:18">
      <c r="A76" s="20"/>
      <c r="B76" s="31">
        <v>46092</v>
      </c>
      <c r="C76" s="20" t="s">
        <v>331</v>
      </c>
      <c r="D76" s="22">
        <v>7188300</v>
      </c>
      <c r="E76" s="23"/>
      <c r="F76" s="20"/>
      <c r="G76" s="25"/>
      <c r="H76" s="20"/>
      <c r="I76" s="20"/>
      <c r="J76" s="26"/>
      <c r="K76" s="26"/>
      <c r="L76" s="26"/>
      <c r="M76" s="26"/>
      <c r="N76" s="25"/>
      <c r="O76" s="25"/>
      <c r="P76" s="20"/>
      <c r="Q76" s="25">
        <f t="shared" si="1"/>
        <v>0</v>
      </c>
      <c r="R76" s="28"/>
    </row>
    <row r="77" s="1" customFormat="1" ht="18" customHeight="1" spans="1:18">
      <c r="A77" s="20"/>
      <c r="B77" s="31">
        <v>46092</v>
      </c>
      <c r="C77" s="20" t="s">
        <v>332</v>
      </c>
      <c r="D77" s="22">
        <v>11270000</v>
      </c>
      <c r="E77" s="23"/>
      <c r="F77" s="20"/>
      <c r="G77" s="25"/>
      <c r="H77" s="20"/>
      <c r="I77" s="20"/>
      <c r="J77" s="26"/>
      <c r="K77" s="26"/>
      <c r="L77" s="26"/>
      <c r="M77" s="26"/>
      <c r="N77" s="25"/>
      <c r="O77" s="25"/>
      <c r="P77" s="20"/>
      <c r="Q77" s="25">
        <f t="shared" si="1"/>
        <v>0</v>
      </c>
      <c r="R77" s="28"/>
    </row>
    <row r="78" s="1" customFormat="1" ht="18" customHeight="1" spans="1:18">
      <c r="A78" s="20"/>
      <c r="B78" s="31">
        <v>46092</v>
      </c>
      <c r="C78" s="20" t="s">
        <v>333</v>
      </c>
      <c r="D78" s="22">
        <v>3431000</v>
      </c>
      <c r="E78" s="23"/>
      <c r="F78" s="20"/>
      <c r="G78" s="25"/>
      <c r="H78" s="20"/>
      <c r="I78" s="20"/>
      <c r="J78" s="26"/>
      <c r="K78" s="26"/>
      <c r="L78" s="26"/>
      <c r="M78" s="26"/>
      <c r="N78" s="25"/>
      <c r="O78" s="25"/>
      <c r="P78" s="20"/>
      <c r="Q78" s="25">
        <f t="shared" si="1"/>
        <v>0</v>
      </c>
      <c r="R78" s="28"/>
    </row>
    <row r="79" s="1" customFormat="1" ht="18" customHeight="1" spans="1:18">
      <c r="A79" s="20"/>
      <c r="B79" s="31">
        <v>46092</v>
      </c>
      <c r="C79" s="20" t="s">
        <v>334</v>
      </c>
      <c r="D79" s="22">
        <v>189000</v>
      </c>
      <c r="E79" s="23"/>
      <c r="F79" s="20"/>
      <c r="G79" s="25"/>
      <c r="H79" s="20"/>
      <c r="I79" s="20"/>
      <c r="J79" s="26"/>
      <c r="K79" s="26"/>
      <c r="L79" s="26"/>
      <c r="M79" s="26"/>
      <c r="N79" s="25"/>
      <c r="O79" s="25"/>
      <c r="P79" s="20"/>
      <c r="Q79" s="25">
        <f t="shared" si="1"/>
        <v>0</v>
      </c>
      <c r="R79" s="28"/>
    </row>
    <row r="80" s="1" customFormat="1" ht="18" customHeight="1" spans="1:18">
      <c r="A80" s="20"/>
      <c r="B80" s="31">
        <v>46092</v>
      </c>
      <c r="C80" s="20" t="s">
        <v>335</v>
      </c>
      <c r="D80" s="22"/>
      <c r="E80" s="23">
        <v>1085</v>
      </c>
      <c r="F80" s="20"/>
      <c r="G80" s="25"/>
      <c r="H80" s="20"/>
      <c r="I80" s="20"/>
      <c r="J80" s="26"/>
      <c r="K80" s="26"/>
      <c r="L80" s="26"/>
      <c r="M80" s="26"/>
      <c r="N80" s="25"/>
      <c r="O80" s="25"/>
      <c r="P80" s="20"/>
      <c r="Q80" s="25">
        <f t="shared" si="1"/>
        <v>0</v>
      </c>
      <c r="R80" s="28"/>
    </row>
    <row r="81" s="1" customFormat="1" ht="18" customHeight="1" spans="1:18">
      <c r="A81" s="20"/>
      <c r="B81" s="31">
        <v>46092</v>
      </c>
      <c r="C81" s="20" t="s">
        <v>336</v>
      </c>
      <c r="D81" s="22"/>
      <c r="E81" s="23">
        <v>1322</v>
      </c>
      <c r="F81" s="20"/>
      <c r="G81" s="25"/>
      <c r="H81" s="20"/>
      <c r="I81" s="20"/>
      <c r="J81" s="26"/>
      <c r="K81" s="26"/>
      <c r="L81" s="26"/>
      <c r="M81" s="26"/>
      <c r="N81" s="25"/>
      <c r="O81" s="25"/>
      <c r="P81" s="20"/>
      <c r="Q81" s="25">
        <f t="shared" si="1"/>
        <v>0</v>
      </c>
      <c r="R81" s="28"/>
    </row>
    <row r="82" s="1" customFormat="1" ht="18" customHeight="1" spans="1:18">
      <c r="A82" s="20"/>
      <c r="B82" s="31">
        <v>46093</v>
      </c>
      <c r="C82" s="20" t="s">
        <v>337</v>
      </c>
      <c r="D82" s="22">
        <v>4470000</v>
      </c>
      <c r="E82" s="23"/>
      <c r="F82" s="20"/>
      <c r="G82" s="25"/>
      <c r="H82" s="20"/>
      <c r="I82" s="20"/>
      <c r="J82" s="26"/>
      <c r="K82" s="26"/>
      <c r="L82" s="26"/>
      <c r="M82" s="26"/>
      <c r="N82" s="25"/>
      <c r="O82" s="25"/>
      <c r="P82" s="20"/>
      <c r="Q82" s="25">
        <f t="shared" si="1"/>
        <v>0</v>
      </c>
      <c r="R82" s="28"/>
    </row>
    <row r="83" s="1" customFormat="1" ht="18" customHeight="1" spans="1:18">
      <c r="A83" s="20"/>
      <c r="B83" s="31">
        <v>46093</v>
      </c>
      <c r="C83" s="20" t="s">
        <v>338</v>
      </c>
      <c r="D83" s="22">
        <v>180000</v>
      </c>
      <c r="E83" s="23"/>
      <c r="F83" s="20"/>
      <c r="G83" s="25"/>
      <c r="H83" s="20"/>
      <c r="I83" s="20"/>
      <c r="J83" s="26"/>
      <c r="K83" s="26"/>
      <c r="L83" s="26"/>
      <c r="M83" s="26"/>
      <c r="N83" s="25"/>
      <c r="O83" s="25"/>
      <c r="P83" s="20"/>
      <c r="Q83" s="25">
        <f t="shared" si="1"/>
        <v>0</v>
      </c>
      <c r="R83" s="28"/>
    </row>
    <row r="84" s="1" customFormat="1" ht="18" customHeight="1" spans="1:18">
      <c r="A84" s="20"/>
      <c r="B84" s="31">
        <v>46094</v>
      </c>
      <c r="C84" s="20" t="s">
        <v>339</v>
      </c>
      <c r="D84" s="22">
        <v>6443000</v>
      </c>
      <c r="E84" s="23"/>
      <c r="F84" s="20"/>
      <c r="G84" s="25"/>
      <c r="H84" s="20"/>
      <c r="I84" s="20"/>
      <c r="J84" s="26"/>
      <c r="K84" s="26"/>
      <c r="L84" s="26"/>
      <c r="M84" s="26"/>
      <c r="N84" s="25"/>
      <c r="O84" s="25"/>
      <c r="P84" s="20"/>
      <c r="Q84" s="25">
        <f t="shared" si="1"/>
        <v>0</v>
      </c>
      <c r="R84" s="28"/>
    </row>
    <row r="85" s="1" customFormat="1" ht="18" customHeight="1" spans="1:18">
      <c r="A85" s="20"/>
      <c r="B85" s="31">
        <v>46094</v>
      </c>
      <c r="C85" s="20" t="s">
        <v>340</v>
      </c>
      <c r="D85" s="22">
        <v>700000</v>
      </c>
      <c r="E85" s="23"/>
      <c r="F85" s="20"/>
      <c r="G85" s="25"/>
      <c r="H85" s="20"/>
      <c r="I85" s="20"/>
      <c r="J85" s="26"/>
      <c r="K85" s="26"/>
      <c r="L85" s="26"/>
      <c r="M85" s="26"/>
      <c r="N85" s="25"/>
      <c r="O85" s="25"/>
      <c r="P85" s="20"/>
      <c r="Q85" s="25">
        <f t="shared" si="1"/>
        <v>0</v>
      </c>
      <c r="R85" s="28"/>
    </row>
    <row r="86" s="1" customFormat="1" ht="18" customHeight="1" spans="1:18">
      <c r="A86" s="20"/>
      <c r="B86" s="31">
        <v>46098</v>
      </c>
      <c r="C86" s="20" t="s">
        <v>341</v>
      </c>
      <c r="D86" s="22">
        <v>12547100</v>
      </c>
      <c r="E86" s="23"/>
      <c r="F86" s="20"/>
      <c r="G86" s="25"/>
      <c r="H86" s="20"/>
      <c r="I86" s="20"/>
      <c r="J86" s="26"/>
      <c r="K86" s="26"/>
      <c r="L86" s="26"/>
      <c r="M86" s="26"/>
      <c r="N86" s="25"/>
      <c r="O86" s="25"/>
      <c r="P86" s="20"/>
      <c r="Q86" s="25">
        <f t="shared" si="1"/>
        <v>0</v>
      </c>
      <c r="R86" s="28"/>
    </row>
    <row r="87" s="1" customFormat="1" ht="18" customHeight="1" spans="1:18">
      <c r="A87" s="20"/>
      <c r="B87" s="34">
        <v>46099</v>
      </c>
      <c r="C87" s="20" t="s">
        <v>342</v>
      </c>
      <c r="D87" s="22">
        <v>6057723</v>
      </c>
      <c r="E87" s="23"/>
      <c r="F87" s="20"/>
      <c r="G87" s="25"/>
      <c r="H87" s="20"/>
      <c r="I87" s="20"/>
      <c r="J87" s="26"/>
      <c r="K87" s="26"/>
      <c r="L87" s="27"/>
      <c r="M87" s="27"/>
      <c r="N87" s="25"/>
      <c r="O87" s="25"/>
      <c r="P87" s="20"/>
      <c r="Q87" s="25">
        <f t="shared" si="1"/>
        <v>0</v>
      </c>
      <c r="R87" s="28"/>
    </row>
    <row r="88" s="1" customFormat="1" ht="18" customHeight="1" spans="1:18">
      <c r="A88" s="20"/>
      <c r="B88" s="32">
        <v>46099</v>
      </c>
      <c r="C88" s="20" t="s">
        <v>342</v>
      </c>
      <c r="D88" s="22">
        <v>38394</v>
      </c>
      <c r="E88" s="23"/>
      <c r="F88" s="20"/>
      <c r="G88" s="25"/>
      <c r="H88" s="20"/>
      <c r="I88" s="20"/>
      <c r="J88" s="26"/>
      <c r="K88" s="26"/>
      <c r="L88" s="26"/>
      <c r="M88" s="26"/>
      <c r="N88" s="25"/>
      <c r="O88" s="25"/>
      <c r="P88" s="20"/>
      <c r="Q88" s="25">
        <f t="shared" si="1"/>
        <v>0</v>
      </c>
      <c r="R88" s="28"/>
    </row>
    <row r="89" s="1" customFormat="1" ht="18" customHeight="1" spans="1:18">
      <c r="A89" s="20"/>
      <c r="B89" s="32">
        <v>46100</v>
      </c>
      <c r="C89" s="20" t="s">
        <v>343</v>
      </c>
      <c r="D89" s="22">
        <v>10000000</v>
      </c>
      <c r="E89" s="23"/>
      <c r="F89" s="20"/>
      <c r="G89" s="25"/>
      <c r="H89" s="20"/>
      <c r="I89" s="20"/>
      <c r="J89" s="26"/>
      <c r="K89" s="26"/>
      <c r="L89" s="26"/>
      <c r="M89" s="26"/>
      <c r="N89" s="25"/>
      <c r="O89" s="25"/>
      <c r="P89" s="20"/>
      <c r="Q89" s="25">
        <f t="shared" si="1"/>
        <v>0</v>
      </c>
      <c r="R89" s="28"/>
    </row>
    <row r="90" s="1" customFormat="1" ht="18" customHeight="1" spans="1:18">
      <c r="A90" s="20"/>
      <c r="B90" s="32">
        <v>46100</v>
      </c>
      <c r="C90" s="20" t="s">
        <v>344</v>
      </c>
      <c r="D90" s="22">
        <v>15047000</v>
      </c>
      <c r="E90" s="23"/>
      <c r="F90" s="20"/>
      <c r="G90" s="25"/>
      <c r="H90" s="20"/>
      <c r="I90" s="20"/>
      <c r="J90" s="26"/>
      <c r="K90" s="26"/>
      <c r="L90" s="26"/>
      <c r="M90" s="26"/>
      <c r="N90" s="25"/>
      <c r="O90" s="25"/>
      <c r="P90" s="20"/>
      <c r="Q90" s="25">
        <f t="shared" si="1"/>
        <v>0</v>
      </c>
      <c r="R90" s="28"/>
    </row>
    <row r="91" s="1" customFormat="1" ht="18" customHeight="1" spans="1:18">
      <c r="A91" s="35"/>
      <c r="B91" s="32">
        <v>46100</v>
      </c>
      <c r="C91" s="20" t="s">
        <v>345</v>
      </c>
      <c r="D91" s="22">
        <v>5000000</v>
      </c>
      <c r="E91" s="23"/>
      <c r="F91" s="20"/>
      <c r="G91" s="25"/>
      <c r="H91" s="20"/>
      <c r="I91" s="20"/>
      <c r="J91" s="26"/>
      <c r="K91" s="26"/>
      <c r="L91" s="26"/>
      <c r="M91" s="26"/>
      <c r="N91" s="25"/>
      <c r="O91" s="25"/>
      <c r="P91" s="20"/>
      <c r="Q91" s="25">
        <f t="shared" si="1"/>
        <v>0</v>
      </c>
      <c r="R91" s="28"/>
    </row>
    <row r="92" s="1" customFormat="1" ht="18" customHeight="1" spans="1:18">
      <c r="A92" s="35"/>
      <c r="B92" s="32">
        <v>46101</v>
      </c>
      <c r="C92" s="20" t="s">
        <v>346</v>
      </c>
      <c r="D92" s="22">
        <v>2878500</v>
      </c>
      <c r="E92" s="23"/>
      <c r="F92" s="20"/>
      <c r="G92" s="25"/>
      <c r="H92" s="20"/>
      <c r="I92" s="20"/>
      <c r="J92" s="26"/>
      <c r="K92" s="26"/>
      <c r="L92" s="26"/>
      <c r="M92" s="26"/>
      <c r="N92" s="25"/>
      <c r="O92" s="25"/>
      <c r="P92" s="20"/>
      <c r="Q92" s="25">
        <f t="shared" si="1"/>
        <v>0</v>
      </c>
      <c r="R92" s="28"/>
    </row>
    <row r="93" s="1" customFormat="1" ht="18" customHeight="1" spans="1:18">
      <c r="A93" s="35"/>
      <c r="B93" s="32">
        <v>46104</v>
      </c>
      <c r="C93" s="20" t="s">
        <v>347</v>
      </c>
      <c r="D93" s="22">
        <v>3500000</v>
      </c>
      <c r="E93" s="23"/>
      <c r="F93" s="20"/>
      <c r="G93" s="25"/>
      <c r="H93" s="20"/>
      <c r="I93" s="20"/>
      <c r="J93" s="26"/>
      <c r="K93" s="26"/>
      <c r="L93" s="26"/>
      <c r="M93" s="26"/>
      <c r="N93" s="25"/>
      <c r="O93" s="25"/>
      <c r="P93" s="20"/>
      <c r="Q93" s="25">
        <f t="shared" si="1"/>
        <v>0</v>
      </c>
      <c r="R93" s="28"/>
    </row>
    <row r="94" s="1" customFormat="1" ht="18" customHeight="1" spans="1:18">
      <c r="A94" s="35"/>
      <c r="B94" s="32">
        <v>46104</v>
      </c>
      <c r="C94" s="20" t="s">
        <v>348</v>
      </c>
      <c r="D94" s="22">
        <v>1181500</v>
      </c>
      <c r="E94" s="23"/>
      <c r="F94" s="20"/>
      <c r="G94" s="25"/>
      <c r="H94" s="20"/>
      <c r="I94" s="20"/>
      <c r="J94" s="26"/>
      <c r="K94" s="26"/>
      <c r="L94" s="26"/>
      <c r="M94" s="26"/>
      <c r="N94" s="25"/>
      <c r="O94" s="25"/>
      <c r="P94" s="20"/>
      <c r="Q94" s="25">
        <f t="shared" si="1"/>
        <v>0</v>
      </c>
      <c r="R94" s="28"/>
    </row>
    <row r="95" ht="16.5" spans="1:18">
      <c r="B95" s="32">
        <v>46104</v>
      </c>
      <c r="C95" s="20" t="s">
        <v>349</v>
      </c>
      <c r="D95" s="22">
        <v>10000000</v>
      </c>
      <c r="E95" s="23"/>
      <c r="F95" s="20"/>
    </row>
    <row r="96" ht="16.5" spans="1:18">
      <c r="B96" s="32">
        <v>46104</v>
      </c>
      <c r="C96" s="20" t="s">
        <v>350</v>
      </c>
      <c r="D96" s="22">
        <v>27648500</v>
      </c>
      <c r="E96" s="23"/>
      <c r="F96" s="20"/>
    </row>
    <row r="97" ht="16.5" spans="2:6">
      <c r="B97" s="32">
        <v>46105</v>
      </c>
      <c r="C97" s="20" t="s">
        <v>349</v>
      </c>
      <c r="D97" s="22">
        <v>10000000</v>
      </c>
      <c r="E97" s="23"/>
      <c r="F97" s="20"/>
    </row>
    <row r="98" ht="16.5" spans="2:6">
      <c r="B98" s="32">
        <v>46105</v>
      </c>
      <c r="C98" s="20" t="s">
        <v>351</v>
      </c>
      <c r="D98" s="22"/>
      <c r="E98" s="23">
        <v>890</v>
      </c>
      <c r="F98" s="20"/>
    </row>
    <row r="99" ht="16.5" spans="2:6">
      <c r="B99" s="32">
        <v>46105</v>
      </c>
      <c r="C99" s="20" t="s">
        <v>352</v>
      </c>
      <c r="D99" s="22">
        <v>7242840</v>
      </c>
      <c r="E99" s="23"/>
      <c r="F99" s="20"/>
    </row>
    <row r="100" ht="16.5" spans="2:6">
      <c r="B100" s="32">
        <v>46106</v>
      </c>
      <c r="C100" s="20" t="s">
        <v>353</v>
      </c>
      <c r="D100" s="22">
        <v>180000</v>
      </c>
      <c r="E100" s="23"/>
      <c r="F100" s="20"/>
    </row>
    <row r="101" ht="16.5" spans="2:6">
      <c r="B101" s="31">
        <v>46106</v>
      </c>
      <c r="C101" s="20" t="s">
        <v>354</v>
      </c>
      <c r="D101" s="22">
        <v>392000</v>
      </c>
      <c r="E101" s="23"/>
      <c r="F101" s="20"/>
    </row>
    <row r="102" ht="16.5" spans="2:6">
      <c r="B102" s="32">
        <v>46109</v>
      </c>
      <c r="C102" s="20" t="s">
        <v>349</v>
      </c>
      <c r="D102" s="22">
        <v>10000000</v>
      </c>
      <c r="E102" s="23"/>
      <c r="F102" s="20"/>
    </row>
    <row r="103" ht="16.5" spans="2:6">
      <c r="B103" s="31">
        <v>46112</v>
      </c>
      <c r="C103" s="20" t="s">
        <v>355</v>
      </c>
      <c r="D103" s="22">
        <v>25900</v>
      </c>
      <c r="E103" s="23"/>
      <c r="F103" s="20"/>
    </row>
    <row r="104" ht="16.5" spans="2:6">
      <c r="B104" s="31">
        <v>46112</v>
      </c>
      <c r="C104" s="20" t="s">
        <v>356</v>
      </c>
      <c r="D104" s="22">
        <v>1512000</v>
      </c>
      <c r="E104" s="23"/>
      <c r="F104" s="20"/>
    </row>
    <row r="105" ht="16.5" spans="2:6">
      <c r="B105" s="31">
        <v>46113</v>
      </c>
      <c r="C105" s="20" t="s">
        <v>357</v>
      </c>
      <c r="D105" s="22">
        <v>7512000</v>
      </c>
      <c r="E105" s="23"/>
      <c r="F105" s="20"/>
    </row>
    <row r="106" ht="16.5" spans="2:6">
      <c r="B106" s="31">
        <v>46113</v>
      </c>
      <c r="C106" s="20" t="s">
        <v>358</v>
      </c>
      <c r="D106" s="22">
        <v>895000</v>
      </c>
      <c r="E106" s="23"/>
      <c r="F106" s="20"/>
    </row>
    <row r="107" ht="16.5" spans="2:6">
      <c r="B107" s="32">
        <v>46116</v>
      </c>
      <c r="C107" s="20" t="s">
        <v>359</v>
      </c>
      <c r="D107" s="22">
        <v>9500000</v>
      </c>
      <c r="E107" s="23"/>
      <c r="F107" s="20"/>
    </row>
    <row r="108" ht="16.5" spans="2:6">
      <c r="B108" s="31">
        <v>46117</v>
      </c>
      <c r="C108" s="20" t="s">
        <v>360</v>
      </c>
      <c r="D108" s="22">
        <v>6200000</v>
      </c>
      <c r="E108" s="23"/>
      <c r="F108" s="20"/>
    </row>
    <row r="109" ht="16.5" spans="2:6">
      <c r="B109" s="31">
        <v>46120</v>
      </c>
      <c r="C109" s="20" t="s">
        <v>361</v>
      </c>
      <c r="D109" s="22">
        <v>6980000</v>
      </c>
      <c r="E109" s="23"/>
      <c r="F109" s="20"/>
    </row>
    <row r="110" ht="16.5" spans="2:6">
      <c r="B110" s="31">
        <v>46120</v>
      </c>
      <c r="C110" s="20" t="s">
        <v>362</v>
      </c>
      <c r="D110" s="22">
        <v>6880000</v>
      </c>
      <c r="E110" s="23"/>
      <c r="F110" s="20"/>
    </row>
    <row r="111" ht="16.5" spans="2:6">
      <c r="B111" s="31">
        <v>46120</v>
      </c>
      <c r="C111" s="20" t="s">
        <v>363</v>
      </c>
      <c r="D111" s="22">
        <v>16723204</v>
      </c>
      <c r="E111" s="23"/>
      <c r="F111" s="20"/>
    </row>
    <row r="112" ht="16.5" spans="2:6">
      <c r="B112" s="21"/>
      <c r="C112" s="20"/>
      <c r="D112" s="22"/>
      <c r="E112" s="23"/>
      <c r="F112" s="20"/>
    </row>
    <row r="113" ht="16.5" spans="2:6">
      <c r="B113" s="21"/>
      <c r="C113" s="20"/>
      <c r="D113" s="22"/>
      <c r="E113" s="23"/>
      <c r="F113" s="20"/>
    </row>
    <row r="114" ht="16.5" spans="2:6">
      <c r="B114" s="21"/>
      <c r="C114" s="20"/>
      <c r="D114" s="22"/>
      <c r="E114" s="23"/>
      <c r="F114" s="20"/>
    </row>
    <row r="115" ht="16.5" spans="2:6">
      <c r="B115" s="21"/>
      <c r="C115" s="20"/>
      <c r="D115" s="22"/>
      <c r="E115" s="23"/>
      <c r="F115" s="20"/>
    </row>
    <row r="116" ht="16.5" spans="2:6">
      <c r="B116" s="21"/>
      <c r="C116" s="20"/>
      <c r="D116" s="22"/>
      <c r="E116" s="23"/>
      <c r="F116" s="20"/>
    </row>
    <row r="117" ht="16.5" spans="2:6">
      <c r="B117" s="21"/>
      <c r="C117" s="20"/>
      <c r="D117" s="22"/>
      <c r="E117" s="23"/>
      <c r="F117" s="20"/>
    </row>
    <row r="118" ht="16.5" spans="2:6">
      <c r="B118" s="21"/>
      <c r="C118" s="20"/>
      <c r="D118" s="22"/>
      <c r="E118" s="23"/>
      <c r="F118" s="20"/>
    </row>
    <row r="119" ht="16.5" spans="2:6">
      <c r="B119" s="21"/>
      <c r="C119" s="20"/>
      <c r="D119" s="22"/>
      <c r="E119" s="23"/>
      <c r="F119" s="20"/>
    </row>
    <row r="120" ht="16.5" spans="2:6">
      <c r="B120" s="21"/>
      <c r="C120" s="20"/>
      <c r="D120" s="22"/>
      <c r="E120" s="23"/>
      <c r="F120" s="20"/>
    </row>
    <row r="121" ht="16.5" spans="2:6">
      <c r="B121" s="21"/>
      <c r="C121" s="20"/>
      <c r="D121" s="22"/>
      <c r="E121" s="23"/>
      <c r="F121" s="20"/>
    </row>
    <row r="122" ht="16.5" spans="2:6">
      <c r="B122" s="21"/>
      <c r="C122" s="20"/>
      <c r="D122" s="22"/>
      <c r="E122" s="23"/>
      <c r="F122" s="20"/>
    </row>
    <row r="123" ht="16.5" spans="2:6">
      <c r="B123" s="21"/>
      <c r="C123" s="20"/>
      <c r="D123" s="22"/>
      <c r="E123" s="23"/>
      <c r="F123" s="20"/>
    </row>
    <row r="124" ht="16.5" spans="2:6">
      <c r="B124" s="21"/>
      <c r="C124" s="20"/>
      <c r="D124" s="22"/>
      <c r="E124" s="23"/>
      <c r="F124" s="20"/>
    </row>
    <row r="125" ht="16.5" spans="2:6">
      <c r="B125" s="36"/>
      <c r="C125" s="20"/>
      <c r="D125" s="22"/>
      <c r="E125" s="23"/>
      <c r="F125" s="20"/>
    </row>
  </sheetData>
  <autoFilter xmlns:etc="http://www.wps.cn/officeDocument/2017/etCustomData" ref="A2:R111" etc:filterBottomFollowUsedRange="0">
    <sortState ref="A2:R111">
      <sortCondition ref="B2"/>
    </sortState>
    <extLst/>
  </autoFilter>
  <mergeCells count="1">
    <mergeCell ref="A1:R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货柜</vt:lpstr>
      <vt:lpstr>货柜为准校对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2017-11-09T08:39:00Z</dcterms:created>
  <dcterms:modified xsi:type="dcterms:W3CDTF">2026-09-16T15:47:57Z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KSOTemplateUUID">
    <vt:lpwstr>v1.0_mb_Fnm1ZAZvjPtn14ua7IVYFw==</vt:lpwstr>
  </property>
  <property fmtid="{D5CDD505-2E9C-101B-9397-08002B2CF9AE}" pid="4" name="ICV">
    <vt:lpwstr>92B9EECCA0584913BC18B60F60979873_13</vt:lpwstr>
  </property>
  <property fmtid="{D5CDD505-2E9C-101B-9397-08002B2CF9AE}" pid="5" name="CalculationRule">
    <vt:i4>0</vt:i4>
  </property>
</Properties>
</file>