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40" activeTab="2"/>
  </bookViews>
  <sheets>
    <sheet name="Token业务全景图" sheetId="4" r:id="rId1"/>
    <sheet name="资源测算模型" sheetId="1" r:id="rId2"/>
    <sheet name="成本&amp;定价评估模型" sheetId="2" r:id="rId3"/>
    <sheet name="【附件-指标描述和定义】" sheetId="5" r:id="rId4"/>
    <sheet name="WpsReserved_CellImgList" sheetId="6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0F5FCA23BA54E62BDF108445D96E242" descr="post_object_image_1795216485"/>
        <xdr:cNvPicPr/>
      </xdr:nvPicPr>
      <xdr:blipFill>
        <a:blip r:embed="rId1"/>
        <a:stretch>
          <a:fillRect/>
        </a:stretch>
      </xdr:blipFill>
      <xdr:spPr>
        <a:xfrm>
          <a:off x="0" y="0"/>
          <a:ext cx="5162550" cy="4048125"/>
        </a:xfrm>
        <a:prstGeom prst="rect">
          <a:avLst/>
        </a:prstGeom>
      </xdr:spPr>
    </xdr:pic>
  </etc:cellImage>
  <etc:cellImage>
    <xdr:pic>
      <xdr:nvPicPr>
        <xdr:cNvPr id="5" name="ID_76941446B9AB4755938FB2542B121EFE" descr="post_object_image_528537390"/>
        <xdr:cNvPicPr/>
      </xdr:nvPicPr>
      <xdr:blipFill>
        <a:blip r:embed="rId2"/>
        <a:stretch>
          <a:fillRect/>
        </a:stretch>
      </xdr:blipFill>
      <xdr:spPr>
        <a:xfrm>
          <a:off x="0" y="0"/>
          <a:ext cx="5191125" cy="36195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<sst xmlns="http://schemas.openxmlformats.org/spreadsheetml/2006/main" count="219" uniqueCount="120">
  <si>
    <t>1、0级全景图</t>
  </si>
  <si>
    <t>智能体服务层：同等业务目标下的成本最佳、性价比最佳</t>
  </si>
  <si>
    <t>模型层：多选、智选、等量的Token成本更低</t>
  </si>
  <si>
    <t>算力网层：多选、智选（推荐）、最佳性价比（低成本）</t>
  </si>
  <si>
    <t>Token业务支撑：产商品、计费、详单、账单--信控、收费</t>
  </si>
  <si>
    <t>1、智能体层全景图（仅token相关）</t>
  </si>
  <si>
    <t>2、模型层全景图</t>
  </si>
  <si>
    <t>3、算力层全景图</t>
  </si>
  <si>
    <t>资源测算前置条件</t>
  </si>
  <si>
    <t>模型服务需求</t>
  </si>
  <si>
    <t>所需资源结论</t>
  </si>
  <si>
    <t>模型名称</t>
  </si>
  <si>
    <t>模型参数量
(B)</t>
  </si>
  <si>
    <t>建议使用精度</t>
  </si>
  <si>
    <t>占用显存</t>
  </si>
  <si>
    <t>GPU卡型号</t>
  </si>
  <si>
    <t>GPU显存</t>
  </si>
  <si>
    <t>单个实例最小使用GPU卡</t>
  </si>
  <si>
    <t>模型输入上下文长度</t>
  </si>
  <si>
    <t>模型输出上下文长度</t>
  </si>
  <si>
    <t>目标并发数</t>
  </si>
  <si>
    <t>推理速度需求</t>
  </si>
  <si>
    <t>辅助计算值（隐藏）</t>
  </si>
  <si>
    <t>未使用推理加速优化</t>
  </si>
  <si>
    <t>使用推理加速优化（PD分离、KV Cache....）</t>
  </si>
  <si>
    <t>备注</t>
  </si>
  <si>
    <t>推理响应速度(tokens/s)</t>
  </si>
  <si>
    <t>首token延时(s)</t>
  </si>
  <si>
    <t>单实例满足并发数</t>
  </si>
  <si>
    <t>单用户吞吐量</t>
  </si>
  <si>
    <t>首token延时</t>
  </si>
  <si>
    <t>所需卡数量</t>
  </si>
  <si>
    <t>所需设备台数</t>
  </si>
  <si>
    <t>输入token总量（百万tokens/年）</t>
  </si>
  <si>
    <t>输出token总量（百万tokens/年）</t>
  </si>
  <si>
    <t>缓存命中token总量（百万tokens/年）</t>
  </si>
  <si>
    <t>总生产token量</t>
  </si>
  <si>
    <t>token量提升</t>
  </si>
  <si>
    <t>-</t>
  </si>
  <si>
    <t>实际显存占用=原参数量*1.3（模型加载、KV cache、+ 其他开销显存）</t>
  </si>
  <si>
    <t>最小使用卡数 = 2 ^ 向上取整(log2(max(正常使用所需显存 / 单卡显存, 1)))</t>
  </si>
  <si>
    <t>所需卡数量 = 向上取整(目标并发数 / 单实例满足并发数量) * 单个服务占用 GPU 卡数量</t>
  </si>
  <si>
    <t>所需设备台数=所需卡数/8</t>
  </si>
  <si>
    <t>输入token总量=年请求个数*输入长度
年请求个数 =
  向上取整(目标并发数 / 单实例满足并发数)
  * 单实例满足并发数
  * 年秒数
  / 单请求耗时</t>
  </si>
  <si>
    <t>输出token总量=年请求个数*输入长度
年请求个数 =
  向上取整(目标并发数 / 单实例满足并发数)
  * 单实例满足并发数
  * 年秒数
  / 单请求耗时</t>
  </si>
  <si>
    <t>缓存token总量=输入token总量*0.6</t>
  </si>
  <si>
    <t>总生产 token =
  输出token个数+非缓存命中个数*0.6</t>
  </si>
  <si>
    <t>通过FP8+KV cache、PD分离，可提升1.2倍左右</t>
  </si>
  <si>
    <t>通过MTP 投机解码可提升1.2倍左右</t>
  </si>
  <si>
    <t>通过MOE专家并行整体可提升1.2倍左右</t>
  </si>
  <si>
    <t>deepseek V4-flash</t>
  </si>
  <si>
    <t>FP8</t>
  </si>
  <si>
    <t>华为昇腾910B</t>
  </si>
  <si>
    <t>16K</t>
  </si>
  <si>
    <t>4K</t>
  </si>
  <si>
    <t>deepseek V4-pro</t>
  </si>
  <si>
    <t>Qwen3.5-122B-A10B</t>
  </si>
  <si>
    <t>Qwen3-ASR-1.7B</t>
  </si>
  <si>
    <t>180s</t>
  </si>
  <si>
    <t>1K</t>
  </si>
  <si>
    <t>集群信息</t>
  </si>
  <si>
    <t>模型信息</t>
  </si>
  <si>
    <t>华为昇腾910B卡设备配置（台/8*80G）</t>
  </si>
  <si>
    <t>成本定价-调优前</t>
  </si>
  <si>
    <t>成本定价-调优后</t>
  </si>
  <si>
    <t>对外报价</t>
  </si>
  <si>
    <t>集群名称</t>
  </si>
  <si>
    <t>集群等级（模型并发等级）</t>
  </si>
  <si>
    <t>典型场景</t>
  </si>
  <si>
    <t>用户规模</t>
  </si>
  <si>
    <t>模型参数量等级</t>
  </si>
  <si>
    <t>标准推荐模型</t>
  </si>
  <si>
    <t>设备台数</t>
  </si>
  <si>
    <t>建设成本
服务器（元）</t>
  </si>
  <si>
    <t>运营成本-人力
（万元/年）</t>
  </si>
  <si>
    <t>运营成本-机柜（万元/年）</t>
  </si>
  <si>
    <t>建设成本-
折旧（万元/年）</t>
  </si>
  <si>
    <t>总成本（元/年）</t>
  </si>
  <si>
    <t>未调优：满负载情况下token(生产量-百万/年)</t>
  </si>
  <si>
    <t>理想：成本定价(元/百万tokens)</t>
  </si>
  <si>
    <t>业务饱和度</t>
  </si>
  <si>
    <t>实际：成本定价(元/百万tokens)</t>
  </si>
  <si>
    <t>调优后：满负载情况下token(生产量-百万/年)</t>
  </si>
  <si>
    <t>利润率30%</t>
  </si>
  <si>
    <t>利润率50%</t>
  </si>
  <si>
    <t>台数*单台建设成本</t>
  </si>
  <si>
    <t>台数*(单人单台月成本*投入人工*12)</t>
  </si>
  <si>
    <t>单服务器功率*服务器个数*功率单价*12个月</t>
  </si>
  <si>
    <t>建设成本：服务器*折旧系数（0.3）</t>
  </si>
  <si>
    <t>运营成本-人力+运营成本-机柜+建设成本-折旧</t>
  </si>
  <si>
    <t>按80%负载</t>
  </si>
  <si>
    <t>(工作日*每天时长比例*实际使用比例)/365</t>
  </si>
  <si>
    <t>LX-轻量集群-Ⅰ</t>
  </si>
  <si>
    <t>低并发（40）</t>
  </si>
  <si>
    <t>工单分类、批量摘要、客服问答、材料粗预审、海量 RAG 检索</t>
  </si>
  <si>
    <t>160~480</t>
  </si>
  <si>
    <t>284B</t>
  </si>
  <si>
    <t>DS-V4-Flash</t>
  </si>
  <si>
    <t>LX-通用集群-Ⅰ</t>
  </si>
  <si>
    <t>中并发（80）</t>
  </si>
  <si>
    <t>240~320</t>
  </si>
  <si>
    <t>LX-旗舰集群-Ⅰ</t>
  </si>
  <si>
    <t>高并发（150）</t>
  </si>
  <si>
    <t>800~1800</t>
  </si>
  <si>
    <t>ST-轻量集群-Ⅰ</t>
  </si>
  <si>
    <t>执法文书审核、政策深度研判、重大公文撰写、疑难业务分析</t>
  </si>
  <si>
    <t>80~200</t>
  </si>
  <si>
    <t>1.6T</t>
  </si>
  <si>
    <t>DS-V4-Pro</t>
  </si>
  <si>
    <t>ST-通用集群-Ⅰ</t>
  </si>
  <si>
    <t>160~270</t>
  </si>
  <si>
    <t>ST-旗舰集群-Ⅰ</t>
  </si>
  <si>
    <t>270~500</t>
  </si>
  <si>
    <t>LX-轻量集群-Ⅱ</t>
  </si>
  <si>
    <t>证照图文核验、执法影像分析、内网私有化项目、复杂政企智能体</t>
  </si>
  <si>
    <t>122B</t>
  </si>
  <si>
    <t>LX-通用集群-Ⅱ</t>
  </si>
  <si>
    <t>LX-旗舰集群-Ⅱ</t>
  </si>
  <si>
    <t>1.7B</t>
  </si>
  <si>
    <t>Qwen3-ASR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</si>
</sst>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0000000_ "/>
    <numFmt numFmtId="179" formatCode="0.00_ "/>
  </numFmts>
  <fonts count="32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</font>
    <font>
      <b/>
      <sz val="16"/>
      <color rgb="FF000000"/>
      <name val="宋体"/>
      <charset val="134"/>
    </font>
    <font>
      <b/>
      <sz val="11"/>
      <name val="宋体"/>
      <charset val="134"/>
    </font>
    <font>
      <sz val="12"/>
      <color rgb="FF000000"/>
      <name val="宋体"/>
      <charset val="134"/>
    </font>
    <font>
      <b/>
      <sz val="11"/>
      <color rgb="FFFF0000"/>
      <name val="宋体"/>
      <charset val="134"/>
    </font>
    <font>
      <b/>
      <sz val="8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9" applyNumberFormat="0" applyAlignment="0" applyProtection="0">
      <alignment vertical="center"/>
    </xf>
    <xf numFmtId="0" fontId="25" fillId="12" borderId="20" applyNumberFormat="0" applyAlignment="0" applyProtection="0">
      <alignment vertical="center"/>
    </xf>
    <xf numFmtId="0" fontId="26" fillId="12" borderId="19" applyNumberFormat="0" applyAlignment="0" applyProtection="0">
      <alignment vertical="center"/>
    </xf>
    <xf numFmtId="0" fontId="3" fillId="13" borderId="21" applyNumberForma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176" fontId="1" fillId="2" borderId="5" xfId="0" applyNumberFormat="1" applyFont="1" applyFill="1" applyBorder="1" applyAlignment="1">
      <alignment wrapText="1"/>
    </xf>
    <xf numFmtId="177" fontId="1" fillId="2" borderId="5" xfId="0" applyNumberFormat="1" applyFont="1" applyFill="1" applyBorder="1" applyAlignment="1">
      <alignment wrapText="1"/>
    </xf>
    <xf numFmtId="177" fontId="7" fillId="2" borderId="5" xfId="0" applyNumberFormat="1" applyFont="1" applyFill="1" applyBorder="1" applyAlignment="1">
      <alignment horizontal="center" wrapText="1"/>
    </xf>
    <xf numFmtId="178" fontId="1" fillId="2" borderId="5" xfId="0" applyNumberFormat="1" applyFont="1" applyFill="1" applyBorder="1" applyAlignment="1">
      <alignment wrapText="1"/>
    </xf>
    <xf numFmtId="178" fontId="1" fillId="2" borderId="5" xfId="0" applyNumberFormat="1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176" fontId="1" fillId="2" borderId="1" xfId="0" applyNumberFormat="1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177" fontId="1" fillId="2" borderId="5" xfId="0" applyNumberFormat="1" applyFont="1" applyFill="1" applyBorder="1" applyAlignment="1">
      <alignment horizontal="center" wrapText="1"/>
    </xf>
    <xf numFmtId="0" fontId="0" fillId="0" borderId="1" xfId="0" applyBorder="1">
      <alignment vertical="center"/>
    </xf>
    <xf numFmtId="0" fontId="7" fillId="2" borderId="6" xfId="0" applyFont="1" applyFill="1" applyBorder="1" applyAlignment="1">
      <alignment wrapText="1"/>
    </xf>
    <xf numFmtId="0" fontId="0" fillId="0" borderId="6" xfId="0" applyBorder="1">
      <alignment vertical="center"/>
    </xf>
    <xf numFmtId="0" fontId="1" fillId="2" borderId="6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0" fillId="0" borderId="8" xfId="0" applyBorder="1">
      <alignment vertical="center"/>
    </xf>
    <xf numFmtId="0" fontId="1" fillId="2" borderId="8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176" fontId="1" fillId="3" borderId="1" xfId="0" applyNumberFormat="1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7" fontId="1" fillId="3" borderId="5" xfId="0" applyNumberFormat="1" applyFont="1" applyFill="1" applyBorder="1" applyAlignment="1">
      <alignment wrapText="1"/>
    </xf>
    <xf numFmtId="176" fontId="9" fillId="3" borderId="8" xfId="0" applyNumberFormat="1" applyFont="1" applyFill="1" applyBorder="1" applyAlignment="1">
      <alignment horizontal="center"/>
    </xf>
    <xf numFmtId="178" fontId="1" fillId="3" borderId="5" xfId="0" applyNumberFormat="1" applyFont="1" applyFill="1" applyBorder="1" applyAlignment="1">
      <alignment wrapText="1"/>
    </xf>
    <xf numFmtId="178" fontId="1" fillId="3" borderId="5" xfId="0" applyNumberFormat="1" applyFont="1" applyFill="1" applyBorder="1" applyAlignment="1">
      <alignment wrapText="1"/>
    </xf>
    <xf numFmtId="0" fontId="1" fillId="3" borderId="7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7" fillId="3" borderId="10" xfId="0" applyFont="1" applyFill="1" applyBorder="1" applyAlignment="1">
      <alignment wrapText="1"/>
    </xf>
    <xf numFmtId="176" fontId="1" fillId="3" borderId="4" xfId="0" applyNumberFormat="1" applyFont="1" applyFill="1" applyBorder="1" applyAlignment="1">
      <alignment wrapText="1"/>
    </xf>
    <xf numFmtId="177" fontId="1" fillId="3" borderId="1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center" wrapText="1"/>
    </xf>
    <xf numFmtId="0" fontId="10" fillId="0" borderId="0" xfId="6" applyFont="1" applyFill="1" applyAlignment="1">
      <alignment wrapText="1"/>
    </xf>
    <xf numFmtId="0" fontId="9" fillId="0" borderId="0" xfId="0" applyNumberFormat="1" applyFont="1" applyFill="1" applyAlignment="1"/>
    <xf numFmtId="0" fontId="9" fillId="2" borderId="0" xfId="0" applyNumberFormat="1" applyFont="1" applyFill="1" applyAlignment="1"/>
    <xf numFmtId="0" fontId="11" fillId="0" borderId="8" xfId="0" applyNumberFormat="1" applyFont="1" applyFill="1" applyBorder="1" applyAlignment="1">
      <alignment horizontal="center"/>
    </xf>
    <xf numFmtId="0" fontId="9" fillId="0" borderId="8" xfId="0" applyNumberFormat="1" applyFont="1" applyFill="1" applyBorder="1" applyAlignment="1">
      <alignment horizontal="center"/>
    </xf>
    <xf numFmtId="0" fontId="11" fillId="0" borderId="12" xfId="0" applyNumberFormat="1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/>
    <xf numFmtId="179" fontId="6" fillId="8" borderId="13" xfId="0" applyNumberFormat="1" applyFont="1" applyFill="1" applyBorder="1" applyAlignment="1">
      <alignment horizontal="center" vertical="center" wrapText="1"/>
    </xf>
    <xf numFmtId="179" fontId="6" fillId="8" borderId="14" xfId="0" applyNumberFormat="1" applyFont="1" applyFill="1" applyBorder="1" applyAlignment="1">
      <alignment horizontal="center" vertical="center" wrapText="1"/>
    </xf>
    <xf numFmtId="179" fontId="6" fillId="8" borderId="15" xfId="0" applyNumberFormat="1" applyFont="1" applyFill="1" applyBorder="1" applyAlignment="1">
      <alignment horizontal="center" vertical="center" wrapText="1"/>
    </xf>
    <xf numFmtId="179" fontId="6" fillId="8" borderId="8" xfId="0" applyNumberFormat="1" applyFont="1" applyFill="1" applyBorder="1" applyAlignment="1">
      <alignment horizontal="center" vertical="center" wrapText="1"/>
    </xf>
    <xf numFmtId="179" fontId="12" fillId="8" borderId="8" xfId="0" applyNumberFormat="1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vertical="center"/>
    </xf>
    <xf numFmtId="0" fontId="13" fillId="0" borderId="0" xfId="0" applyNumberFormat="1" applyFont="1" applyFill="1" applyAlignment="1">
      <alignment wrapText="1"/>
    </xf>
    <xf numFmtId="0" fontId="6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9" fillId="2" borderId="8" xfId="0" applyNumberFormat="1" applyFont="1" applyFill="1" applyBorder="1" applyAlignment="1"/>
    <xf numFmtId="0" fontId="13" fillId="2" borderId="8" xfId="0" applyNumberFormat="1" applyFont="1" applyFill="1" applyBorder="1" applyAlignment="1"/>
    <xf numFmtId="0" fontId="9" fillId="0" borderId="8" xfId="0" applyNumberFormat="1" applyFont="1" applyFill="1" applyBorder="1" applyAlignment="1"/>
    <xf numFmtId="0" fontId="13" fillId="0" borderId="8" xfId="0" applyFont="1" applyBorder="1" applyAlignment="1">
      <alignment horizontal="center"/>
    </xf>
    <xf numFmtId="0" fontId="13" fillId="0" borderId="8" xfId="0" applyNumberFormat="1" applyFont="1" applyFill="1" applyBorder="1" applyAlignment="1"/>
    <xf numFmtId="0" fontId="13" fillId="0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176" fontId="9" fillId="0" borderId="8" xfId="0" applyNumberFormat="1" applyFont="1" applyFill="1" applyBorder="1" applyAlignment="1">
      <alignment horizontal="center" wrapText="1"/>
    </xf>
    <xf numFmtId="176" fontId="9" fillId="0" borderId="8" xfId="0" applyNumberFormat="1" applyFont="1" applyFill="1" applyBorder="1" applyAlignment="1">
      <alignment horizontal="center"/>
    </xf>
    <xf numFmtId="176" fontId="13" fillId="0" borderId="8" xfId="0" applyNumberFormat="1" applyFont="1" applyFill="1" applyBorder="1" applyAlignment="1">
      <alignment horizontal="center"/>
    </xf>
    <xf numFmtId="10" fontId="9" fillId="0" borderId="8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DC3E6"/>
      <color rgb="00FF0000"/>
      <color rgb="00F4B183"/>
      <color rgb="00F4B7BE"/>
      <color rgb="00A8EAE4"/>
      <color rgb="00ED7D31"/>
      <color rgb="00BDD7EE"/>
      <color rgb="004472C4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/>
    <sheetInfos/>
  </bookInfo>
</woInfos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542925</xdr:colOff>
      <xdr:row>16</xdr:row>
      <xdr:rowOff>163195</xdr:rowOff>
    </xdr:to>
    <xdr:sp>
      <xdr:nvSpPr>
        <xdr:cNvPr id="3630" name="矩形 1"/>
        <xdr:cNvSpPr>
          <a:spLocks noChangeAspect="1"/>
        </xdr:cNvSpPr>
      </xdr:nvSpPr>
      <xdr:spPr>
        <a:xfrm>
          <a:off x="762000" y="628650"/>
          <a:ext cx="4352925" cy="28911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542925</xdr:colOff>
      <xdr:row>42</xdr:row>
      <xdr:rowOff>163195</xdr:rowOff>
    </xdr:to>
    <xdr:sp>
      <xdr:nvSpPr>
        <xdr:cNvPr id="3631" name="矩形 2"/>
        <xdr:cNvSpPr>
          <a:spLocks noChangeAspect="1"/>
        </xdr:cNvSpPr>
      </xdr:nvSpPr>
      <xdr:spPr>
        <a:xfrm>
          <a:off x="762000" y="5871210"/>
          <a:ext cx="4352925" cy="309689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6</xdr:col>
      <xdr:colOff>542925</xdr:colOff>
      <xdr:row>70</xdr:row>
      <xdr:rowOff>0</xdr:rowOff>
    </xdr:to>
    <xdr:sp>
      <xdr:nvSpPr>
        <xdr:cNvPr id="3632" name="矩形 3"/>
        <xdr:cNvSpPr>
          <a:spLocks noChangeAspect="1"/>
        </xdr:cNvSpPr>
      </xdr:nvSpPr>
      <xdr:spPr>
        <a:xfrm>
          <a:off x="762000" y="11738610"/>
          <a:ext cx="4352925" cy="2933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6</xdr:col>
      <xdr:colOff>542925</xdr:colOff>
      <xdr:row>95</xdr:row>
      <xdr:rowOff>143510</xdr:rowOff>
    </xdr:to>
    <xdr:sp>
      <xdr:nvSpPr>
        <xdr:cNvPr id="3633" name="矩形 4"/>
        <xdr:cNvSpPr>
          <a:spLocks noChangeAspect="1"/>
        </xdr:cNvSpPr>
      </xdr:nvSpPr>
      <xdr:spPr>
        <a:xfrm>
          <a:off x="762000" y="17396460"/>
          <a:ext cx="4352925" cy="2658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6</xdr:col>
      <xdr:colOff>542925</xdr:colOff>
      <xdr:row>16</xdr:row>
      <xdr:rowOff>163195</xdr:rowOff>
    </xdr:to>
    <xdr:sp>
      <xdr:nvSpPr>
        <xdr:cNvPr id="3634" name="矩形 5"/>
        <xdr:cNvSpPr>
          <a:spLocks noChangeAspect="1"/>
        </xdr:cNvSpPr>
      </xdr:nvSpPr>
      <xdr:spPr>
        <a:xfrm>
          <a:off x="762000" y="628650"/>
          <a:ext cx="4352925" cy="28911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6</xdr:col>
      <xdr:colOff>542925</xdr:colOff>
      <xdr:row>16</xdr:row>
      <xdr:rowOff>163195</xdr:rowOff>
    </xdr:to>
    <xdr:sp>
      <xdr:nvSpPr>
        <xdr:cNvPr id="3635" name="矩形 6"/>
        <xdr:cNvSpPr>
          <a:spLocks noChangeAspect="1"/>
        </xdr:cNvSpPr>
      </xdr:nvSpPr>
      <xdr:spPr>
        <a:xfrm>
          <a:off x="762000" y="628650"/>
          <a:ext cx="4352925" cy="28911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100330</xdr:colOff>
      <xdr:row>4</xdr:row>
      <xdr:rowOff>127000</xdr:rowOff>
    </xdr:from>
    <xdr:to>
      <xdr:col>8</xdr:col>
      <xdr:colOff>680720</xdr:colOff>
      <xdr:row>24</xdr:row>
      <xdr:rowOff>88900</xdr:rowOff>
    </xdr:to>
    <xdr:pic>
      <xdr:nvPicPr>
        <xdr:cNvPr id="3636" name="ID_48486F99EE164C55B89595E216A6FE4C" descr="post_object_image_23780332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4330" y="969010"/>
          <a:ext cx="5152390" cy="415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85725</xdr:colOff>
      <xdr:row>57</xdr:row>
      <xdr:rowOff>184785</xdr:rowOff>
    </xdr:from>
    <xdr:to>
      <xdr:col>8</xdr:col>
      <xdr:colOff>694055</xdr:colOff>
      <xdr:row>77</xdr:row>
      <xdr:rowOff>33655</xdr:rowOff>
    </xdr:to>
    <xdr:pic>
      <xdr:nvPicPr>
        <xdr:cNvPr id="3637" name="ID_E19F59F3D006442FB3D0DD8318C6DFDE" descr="post_object_image_83580726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9725" y="12132945"/>
          <a:ext cx="5180330" cy="4039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590550</xdr:colOff>
      <xdr:row>19</xdr:row>
      <xdr:rowOff>66675</xdr:rowOff>
    </xdr:to>
    <xdr:pic>
      <xdr:nvPicPr>
        <xdr:cNvPr id="3" name="ID_80F5FCA23BA54E62BDF108445D96E242" descr="post_object_image_1795216485"/>
        <xdr:cNvPicPr/>
      </xdr:nvPicPr>
      <xdr:blipFill>
        <a:blip r:embed="rId1"/>
        <a:stretch>
          <a:fillRect/>
        </a:stretch>
      </xdr:blipFill>
      <xdr:spPr>
        <a:xfrm>
          <a:off x="0" y="0"/>
          <a:ext cx="5162550" cy="4048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619125</xdr:colOff>
      <xdr:row>17</xdr:row>
      <xdr:rowOff>57150</xdr:rowOff>
    </xdr:to>
    <xdr:pic>
      <xdr:nvPicPr>
        <xdr:cNvPr id="5" name="ID_76941446B9AB4755938FB2542B121EFE" descr="post_object_image_528537390"/>
        <xdr:cNvPicPr/>
      </xdr:nvPicPr>
      <xdr:blipFill>
        <a:blip r:embed="rId2"/>
        <a:stretch>
          <a:fillRect/>
        </a:stretch>
      </xdr:blipFill>
      <xdr:spPr>
        <a:xfrm>
          <a:off x="0" y="0"/>
          <a:ext cx="5191125" cy="361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06"/>
  <sheetViews>
    <sheetView topLeftCell="A56" workbookViewId="0">
      <selection activeCell="B57" sqref="B57:J79"/>
    </sheetView>
  </sheetViews>
  <sheetFormatPr defaultColWidth="8.88888888888889" defaultRowHeight="16.5"/>
  <sheetData>
    <row r="1" customHeight="1"/>
    <row r="3" spans="2:11">
      <c r="B3" t="s">
        <v>0</v>
      </c>
    </row>
    <row r="4" ht="16.8" customHeight="1"/>
    <row r="10" spans="2:11">
      <c r="K10" t="s">
        <v>1</v>
      </c>
    </row>
    <row r="16" spans="2:11">
      <c r="K16" t="s">
        <v>2</v>
      </c>
    </row>
    <row r="22" spans="2:11">
      <c r="K22" t="s">
        <v>3</v>
      </c>
    </row>
    <row r="26" spans="2:11">
      <c r="K26" t="s">
        <v>4</v>
      </c>
    </row>
    <row r="28" spans="2:11">
      <c r="B28" t="s">
        <v>5</v>
      </c>
    </row>
    <row r="29" spans="2:11">
      <c r="B29" t="str">
        <f>_xlfn.DISPIMG("ID_80F5FCA23BA54E62BDF108445D96E242",1)</f>
        <v>=DISPIMG("ID_80F5FCA23BA54E62BDF108445D96E242",1)</v>
      </c>
    </row>
    <row r="56" spans="2:2">
      <c r="B56" t="s">
        <v>6</v>
      </c>
    </row>
    <row r="57" customHeight="1"/>
    <row r="82" spans="2:2">
      <c r="B82" t="s">
        <v>7</v>
      </c>
    </row>
    <row r="84" spans="2:2">
      <c r="B84" t="str">
        <f>_xlfn.DISPIMG("ID_76941446B9AB4755938FB2542B121EFE",1)</f>
        <v>=DISPIMG("ID_76941446B9AB4755938FB2542B121EFE",1)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29:J51"/>
    <mergeCell ref="B57:J79"/>
    <mergeCell ref="B84:J106"/>
    <mergeCell ref="B4:J2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D22"/>
  <sheetViews>
    <sheetView topLeftCell="N13" workbookViewId="0">
      <selection activeCell="R17" sqref="R17:R19"/>
    </sheetView>
  </sheetViews>
  <sheetFormatPr defaultColWidth="7.51851851851852" defaultRowHeight="18" customHeight="1"/>
  <cols>
    <col min="1" max="1" width="5.4" style="63" customWidth="1"/>
    <col min="2" max="2" width="20.2222222222222" style="63" customWidth="1"/>
    <col min="3" max="3" width="10.6518518518519" style="63" customWidth="1"/>
    <col min="4" max="4" width="10.6518518518519" customWidth="1"/>
    <col min="5" max="5" width="23.437037037037" style="63" customWidth="1"/>
    <col min="6" max="6" width="13.5481481481481" style="63" customWidth="1"/>
    <col min="7" max="11" width="10.6518518518519" style="63" customWidth="1"/>
    <col min="12" max="12" width="15.8888888888889" style="63" customWidth="1"/>
    <col min="13" max="13" width="12.6074074074074" style="63" customWidth="1"/>
    <col min="14" max="17" width="13.9481481481481" style="63" customWidth="1"/>
    <col min="18" max="18" width="10.6592592592593" style="63"/>
    <col min="19" max="19" width="24.4074074074074" style="63" customWidth="1"/>
    <col min="20" max="20" width="19" style="63"/>
    <col min="21" max="21" width="17.2222222222222" style="63" customWidth="1"/>
    <col min="22" max="22" width="19" style="63"/>
    <col min="23" max="24" width="9.5037037037037" style="63" customWidth="1"/>
    <col min="25" max="25" width="15.2740740740741" style="63" customWidth="1"/>
    <col min="26" max="26" width="14.5037037037037" style="63" customWidth="1"/>
    <col min="27" max="27" width="13.6074074074074" style="63" customWidth="1"/>
    <col min="28" max="28" width="15.3925925925926" style="63" customWidth="1"/>
    <col min="29" max="29" width="11.837037037037" style="63" customWidth="1"/>
    <col min="30" max="16384" width="7.51851851851852" style="63"/>
  </cols>
  <sheetData>
    <row r="5" customHeight="1" spans="1:30">
      <c r="B5" s="65" t="s">
        <v>8</v>
      </c>
      <c r="C5" s="66"/>
      <c r="D5" s="41"/>
      <c r="E5" s="66"/>
      <c r="F5" s="66"/>
      <c r="G5" s="66"/>
      <c r="H5" s="66"/>
      <c r="I5" s="65" t="s">
        <v>9</v>
      </c>
      <c r="J5" s="66"/>
      <c r="K5" s="66"/>
      <c r="L5" s="41"/>
      <c r="M5" s="66"/>
      <c r="N5" s="65"/>
      <c r="O5" s="65"/>
      <c r="P5" s="65"/>
      <c r="Q5" s="65" t="s">
        <v>10</v>
      </c>
      <c r="R5" s="65"/>
      <c r="S5" s="65"/>
      <c r="T5" s="65"/>
      <c r="U5" s="65"/>
      <c r="V5" s="65"/>
      <c r="W5" s="67"/>
      <c r="X5" s="67"/>
      <c r="Y5" s="67"/>
      <c r="Z5" s="67"/>
      <c r="AA5" s="67"/>
      <c r="AB5" s="67"/>
    </row>
    <row r="6" s="63" customFormat="1" customHeight="1" spans="1:30">
      <c r="B6" s="68" t="s">
        <v>11</v>
      </c>
      <c r="C6" s="68" t="s">
        <v>12</v>
      </c>
      <c r="D6" s="68" t="s">
        <v>13</v>
      </c>
      <c r="E6" s="68" t="s">
        <v>14</v>
      </c>
      <c r="F6" s="69" t="s">
        <v>15</v>
      </c>
      <c r="G6" s="68" t="s">
        <v>16</v>
      </c>
      <c r="H6" s="68" t="s">
        <v>17</v>
      </c>
      <c r="I6" s="70" t="s">
        <v>18</v>
      </c>
      <c r="J6" s="70" t="s">
        <v>19</v>
      </c>
      <c r="K6" s="70" t="s">
        <v>20</v>
      </c>
      <c r="L6" s="70" t="s">
        <v>21</v>
      </c>
      <c r="M6" s="71"/>
      <c r="N6" s="72" t="s">
        <v>22</v>
      </c>
      <c r="O6" s="73"/>
      <c r="P6" s="74"/>
      <c r="Q6" s="75" t="s">
        <v>23</v>
      </c>
      <c r="R6" s="76"/>
      <c r="S6" s="76"/>
      <c r="T6" s="76"/>
      <c r="U6" s="76"/>
      <c r="V6" s="76"/>
      <c r="W6" s="72" t="s">
        <v>24</v>
      </c>
      <c r="X6" s="73"/>
      <c r="Y6" s="73"/>
      <c r="Z6" s="73"/>
      <c r="AA6" s="73"/>
      <c r="AB6" s="73"/>
      <c r="AC6" s="74"/>
      <c r="AD6" s="77" t="s">
        <v>25</v>
      </c>
    </row>
    <row r="7" s="63" customFormat="1" ht="29.25" customHeight="1" spans="1:30">
      <c r="B7" s="68"/>
      <c r="C7" s="68"/>
      <c r="D7" s="68"/>
      <c r="E7" s="68"/>
      <c r="F7" s="69"/>
      <c r="G7" s="69"/>
      <c r="H7" s="69"/>
      <c r="I7" s="70"/>
      <c r="J7" s="70"/>
      <c r="K7" s="70"/>
      <c r="L7" s="70" t="s">
        <v>26</v>
      </c>
      <c r="M7" s="70" t="s">
        <v>27</v>
      </c>
      <c r="N7" s="78" t="s">
        <v>28</v>
      </c>
      <c r="O7" s="78" t="s">
        <v>29</v>
      </c>
      <c r="P7" s="78" t="s">
        <v>30</v>
      </c>
      <c r="Q7" s="79" t="s">
        <v>31</v>
      </c>
      <c r="R7" s="79" t="s">
        <v>32</v>
      </c>
      <c r="S7" s="78" t="s">
        <v>33</v>
      </c>
      <c r="T7" s="78" t="s">
        <v>34</v>
      </c>
      <c r="U7" s="78" t="s">
        <v>35</v>
      </c>
      <c r="V7" s="79" t="s">
        <v>36</v>
      </c>
      <c r="W7" s="79" t="s">
        <v>31</v>
      </c>
      <c r="X7" s="79" t="s">
        <v>32</v>
      </c>
      <c r="Y7" s="78" t="s">
        <v>33</v>
      </c>
      <c r="Z7" s="78" t="s">
        <v>34</v>
      </c>
      <c r="AA7" s="78" t="s">
        <v>35</v>
      </c>
      <c r="AB7" s="79" t="s">
        <v>36</v>
      </c>
      <c r="AC7" s="78" t="s">
        <v>37</v>
      </c>
      <c r="AD7" s="80"/>
    </row>
    <row r="8" s="64" customFormat="1" ht="33" customHeight="1" spans="1:30">
      <c r="A8" s="81"/>
      <c r="B8" s="82" t="s">
        <v>38</v>
      </c>
      <c r="C8" s="82" t="s">
        <v>38</v>
      </c>
      <c r="D8" s="82" t="s">
        <v>38</v>
      </c>
      <c r="E8" s="83" t="s">
        <v>39</v>
      </c>
      <c r="F8" s="82" t="s">
        <v>38</v>
      </c>
      <c r="G8" s="82" t="s">
        <v>38</v>
      </c>
      <c r="H8" s="84" t="s">
        <v>40</v>
      </c>
      <c r="I8" s="82"/>
      <c r="J8" s="82"/>
      <c r="K8" s="82"/>
      <c r="L8" s="82"/>
      <c r="M8" s="82"/>
      <c r="N8" s="84"/>
      <c r="O8" s="84"/>
      <c r="P8" s="84"/>
      <c r="Q8" s="84" t="s">
        <v>41</v>
      </c>
      <c r="R8" s="84" t="s">
        <v>42</v>
      </c>
      <c r="S8" s="84" t="s">
        <v>43</v>
      </c>
      <c r="T8" s="84" t="s">
        <v>44</v>
      </c>
      <c r="U8" s="84" t="s">
        <v>45</v>
      </c>
      <c r="V8" s="83" t="s">
        <v>46</v>
      </c>
      <c r="W8" s="85"/>
      <c r="X8" s="85"/>
      <c r="Y8" s="83" t="s">
        <v>47</v>
      </c>
      <c r="Z8" s="83" t="s">
        <v>48</v>
      </c>
      <c r="AA8" s="83"/>
      <c r="AB8" s="83" t="s">
        <v>49</v>
      </c>
      <c r="AC8" s="86"/>
      <c r="AD8" s="86"/>
    </row>
    <row r="9" s="63" customFormat="1" customHeight="1" spans="1:30">
      <c r="B9" s="87" t="s">
        <v>50</v>
      </c>
      <c r="C9" s="66">
        <v>284</v>
      </c>
      <c r="D9" s="88" t="s">
        <v>51</v>
      </c>
      <c r="E9" s="66">
        <f>C9*1.3</f>
        <v>369.2</v>
      </c>
      <c r="F9" s="89" t="s">
        <v>52</v>
      </c>
      <c r="G9" s="66">
        <v>64</v>
      </c>
      <c r="H9" s="66">
        <f>2^(CEILING(LOG(MAX(E9/G9,1),2),1))</f>
        <v>8</v>
      </c>
      <c r="I9" s="90" t="s">
        <v>53</v>
      </c>
      <c r="J9" s="91" t="s">
        <v>54</v>
      </c>
      <c r="K9" s="92">
        <v>40</v>
      </c>
      <c r="L9" s="66">
        <v>10</v>
      </c>
      <c r="M9" s="66">
        <v>5</v>
      </c>
      <c r="N9" s="66">
        <v>9</v>
      </c>
      <c r="O9" s="66">
        <v>14.82</v>
      </c>
      <c r="P9" s="66">
        <v>4.42</v>
      </c>
      <c r="Q9" s="66">
        <f>IFERROR(ROUNDUP(K9/N9,0)*H9,"")</f>
        <v>40</v>
      </c>
      <c r="R9" s="66">
        <f>Q9/8</f>
        <v>5</v>
      </c>
      <c r="S9" s="93">
        <f>IFERROR(ROUNDUP($K9/$N9,0)*$N9*365*24*3600/($P9+VALUE(SUBSTITUTE(UPPER($J9),"K",""))*1024/$O9),"")*VALUE(SUBSTITUTE(UPPER($I9),"K",""))*1024/1000000</f>
        <v>82801.2523609491</v>
      </c>
      <c r="T9" s="93">
        <f>IFERROR(ROUNDUP($K9/$N9,0)*$N9*365*24*3600*1024/($P9+VALUE(SUBSTITUTE(UPPER($J9),"K",""))*1024/$O9),"")*VALUE(SUBSTITUTE(UPPER($J9),"K",""))/1000000</f>
        <v>20700.3130902373</v>
      </c>
      <c r="U9" s="94">
        <f>IF(ISNUMBER($S9),$S9*0.6,"")</f>
        <v>49680.7514165694</v>
      </c>
      <c r="V9" s="94">
        <f>T9+(S9-U9)*0.6</f>
        <v>40572.613656865</v>
      </c>
      <c r="W9" s="66">
        <f>Q9</f>
        <v>40</v>
      </c>
      <c r="X9" s="66">
        <f>R9</f>
        <v>5</v>
      </c>
      <c r="Y9" s="94">
        <f>S9*1.2</f>
        <v>99361.5028331389</v>
      </c>
      <c r="Z9" s="94">
        <f>T9*1.2</f>
        <v>24840.3757082847</v>
      </c>
      <c r="AA9" s="94">
        <f>U9</f>
        <v>49680.7514165694</v>
      </c>
      <c r="AB9" s="95">
        <f>((Z9)+(Y9-AA9)*0.6)*1.2</f>
        <v>65578.5918698717</v>
      </c>
      <c r="AC9" s="96">
        <f>AB9/V9</f>
        <v>1.61632653061224</v>
      </c>
      <c r="AD9" s="87"/>
    </row>
    <row r="10" customHeight="1" spans="1:30">
      <c r="B10" s="87" t="s">
        <v>50</v>
      </c>
      <c r="C10" s="66">
        <v>284</v>
      </c>
      <c r="D10" s="88" t="s">
        <v>51</v>
      </c>
      <c r="E10" s="66">
        <f t="shared" ref="E10:E17" si="0">C10*1.3</f>
        <v>369.2</v>
      </c>
      <c r="F10" s="89" t="s">
        <v>52</v>
      </c>
      <c r="G10" s="66">
        <v>64</v>
      </c>
      <c r="H10" s="66">
        <f>2^(CEILING(LOG(MAX(E10/G10,1),2),1))</f>
        <v>8</v>
      </c>
      <c r="I10" s="90" t="s">
        <v>53</v>
      </c>
      <c r="J10" s="91" t="s">
        <v>54</v>
      </c>
      <c r="K10" s="92">
        <v>80</v>
      </c>
      <c r="L10" s="66">
        <v>10</v>
      </c>
      <c r="M10" s="66">
        <v>5</v>
      </c>
      <c r="N10" s="66">
        <v>9</v>
      </c>
      <c r="O10" s="66">
        <v>14.82</v>
      </c>
      <c r="P10" s="66">
        <v>4.42</v>
      </c>
      <c r="Q10" s="66">
        <f>IFERROR(ROUNDUP(K10/N10,0)*H10,"")</f>
        <v>72</v>
      </c>
      <c r="R10" s="66">
        <f t="shared" ref="R10:R17" si="1">Q10/8</f>
        <v>9</v>
      </c>
      <c r="S10" s="93">
        <f t="shared" ref="S10:S17" si="2">IFERROR(ROUNDUP($K10/$N10,0)*$N10*365*24*3600/($P10+VALUE(SUBSTITUTE(UPPER($J10),"K",""))*1024/$O10),"")*VALUE(SUBSTITUTE(UPPER($I10),"K",""))*1024/1000000</f>
        <v>149042.254249708</v>
      </c>
      <c r="T10" s="93">
        <f t="shared" ref="T10:T17" si="3">IFERROR(ROUNDUP($K10/$N10,0)*$N10*365*24*3600*1024/($P10+VALUE(SUBSTITUTE(UPPER($J10),"K",""))*1024/$O10),"")*VALUE(SUBSTITUTE(UPPER($J10),"K",""))/1000000</f>
        <v>37260.5635624271</v>
      </c>
      <c r="U10" s="94">
        <f t="shared" ref="U10:U17" si="4">IF(ISNUMBER($S10),$S10*0.6,"")</f>
        <v>89425.352549825</v>
      </c>
      <c r="V10" s="94">
        <f t="shared" ref="V10:V17" si="5">T10+(S10-U10)*0.6</f>
        <v>73030.7045823571</v>
      </c>
      <c r="W10" s="66">
        <f t="shared" ref="W10:W17" si="6">Q10</f>
        <v>72</v>
      </c>
      <c r="X10" s="66">
        <f t="shared" ref="X10:X17" si="7">R10</f>
        <v>9</v>
      </c>
      <c r="Y10" s="94">
        <f t="shared" ref="Y10:Y17" si="8">S10*1.2</f>
        <v>178850.70509965</v>
      </c>
      <c r="Z10" s="94">
        <f t="shared" ref="Z10:Z17" si="9">T10*1.2</f>
        <v>44712.6762749125</v>
      </c>
      <c r="AA10" s="94">
        <f t="shared" ref="AA10:AA17" si="10">U10</f>
        <v>89425.352549825</v>
      </c>
      <c r="AB10" s="95">
        <f t="shared" ref="AB10:AB17" si="11">((Z10)+(Y10-AA10)*0.6)*1.2</f>
        <v>118041.465365769</v>
      </c>
      <c r="AC10" s="96">
        <f t="shared" ref="AC10:AC17" si="12">AB10/V10</f>
        <v>1.61632653061224</v>
      </c>
      <c r="AD10" s="87"/>
    </row>
    <row r="11" customHeight="1" spans="1:30">
      <c r="B11" s="87" t="s">
        <v>50</v>
      </c>
      <c r="C11" s="66">
        <v>284</v>
      </c>
      <c r="D11" s="88" t="s">
        <v>51</v>
      </c>
      <c r="E11" s="66">
        <f t="shared" si="0"/>
        <v>369.2</v>
      </c>
      <c r="F11" s="89" t="s">
        <v>52</v>
      </c>
      <c r="G11" s="66">
        <v>64</v>
      </c>
      <c r="H11" s="66">
        <f>2^(CEILING(LOG(MAX(E11/G11,1),2),1))</f>
        <v>8</v>
      </c>
      <c r="I11" s="90" t="s">
        <v>53</v>
      </c>
      <c r="J11" s="91" t="s">
        <v>54</v>
      </c>
      <c r="K11" s="92">
        <v>150</v>
      </c>
      <c r="L11" s="66">
        <v>10</v>
      </c>
      <c r="M11" s="66">
        <v>5</v>
      </c>
      <c r="N11" s="66">
        <v>9</v>
      </c>
      <c r="O11" s="66">
        <v>14.82</v>
      </c>
      <c r="P11" s="66">
        <v>4.42</v>
      </c>
      <c r="Q11" s="66">
        <f>IFERROR(ROUNDUP(K11/N11,0)*H11,"")</f>
        <v>136</v>
      </c>
      <c r="R11" s="66">
        <f t="shared" si="1"/>
        <v>17</v>
      </c>
      <c r="S11" s="93">
        <f t="shared" si="2"/>
        <v>281524.258027227</v>
      </c>
      <c r="T11" s="93">
        <f t="shared" si="3"/>
        <v>70381.0645068067</v>
      </c>
      <c r="U11" s="94">
        <f t="shared" si="4"/>
        <v>168914.554816336</v>
      </c>
      <c r="V11" s="94">
        <f t="shared" si="5"/>
        <v>137946.886433341</v>
      </c>
      <c r="W11" s="66">
        <f t="shared" si="6"/>
        <v>136</v>
      </c>
      <c r="X11" s="66">
        <f t="shared" si="7"/>
        <v>17</v>
      </c>
      <c r="Y11" s="94">
        <f t="shared" si="8"/>
        <v>337829.109632672</v>
      </c>
      <c r="Z11" s="94">
        <f t="shared" si="9"/>
        <v>84457.2774081681</v>
      </c>
      <c r="AA11" s="94">
        <f t="shared" si="10"/>
        <v>168914.554816336</v>
      </c>
      <c r="AB11" s="95">
        <f t="shared" si="11"/>
        <v>222967.212357564</v>
      </c>
      <c r="AC11" s="96">
        <f t="shared" si="12"/>
        <v>1.61632653061224</v>
      </c>
      <c r="AD11" s="87"/>
    </row>
    <row r="12" customHeight="1" spans="1:30">
      <c r="B12" s="87" t="s">
        <v>55</v>
      </c>
      <c r="C12" s="66">
        <v>1600</v>
      </c>
      <c r="D12" s="88" t="s">
        <v>51</v>
      </c>
      <c r="E12" s="66">
        <f t="shared" si="0"/>
        <v>2080</v>
      </c>
      <c r="F12" s="89" t="s">
        <v>52</v>
      </c>
      <c r="G12" s="66">
        <v>64</v>
      </c>
      <c r="H12" s="66">
        <f t="shared" ref="H12:H17" si="13">2^(CEILING(LOG(MAX(E12/G12,1),2),1))</f>
        <v>64</v>
      </c>
      <c r="I12" s="90" t="s">
        <v>53</v>
      </c>
      <c r="J12" s="91" t="s">
        <v>54</v>
      </c>
      <c r="K12" s="92">
        <v>40</v>
      </c>
      <c r="L12" s="66">
        <v>10</v>
      </c>
      <c r="M12" s="66">
        <v>8</v>
      </c>
      <c r="N12" s="66">
        <v>14</v>
      </c>
      <c r="O12" s="66">
        <v>47.23</v>
      </c>
      <c r="P12" s="66">
        <v>7.65</v>
      </c>
      <c r="Q12" s="66">
        <f t="shared" ref="Q10:Q17" si="14">IFERROR(ROUNDUP(K12/N12,0)*H12,"")</f>
        <v>192</v>
      </c>
      <c r="R12" s="66">
        <f t="shared" si="1"/>
        <v>24</v>
      </c>
      <c r="S12" s="93">
        <f t="shared" si="2"/>
        <v>229943.422514376</v>
      </c>
      <c r="T12" s="93">
        <f t="shared" si="3"/>
        <v>57485.8556285939</v>
      </c>
      <c r="U12" s="94">
        <f t="shared" si="4"/>
        <v>137966.053508625</v>
      </c>
      <c r="V12" s="94">
        <f t="shared" si="5"/>
        <v>112672.277032044</v>
      </c>
      <c r="W12" s="66">
        <f t="shared" si="6"/>
        <v>192</v>
      </c>
      <c r="X12" s="66">
        <f t="shared" si="7"/>
        <v>24</v>
      </c>
      <c r="Y12" s="94">
        <f t="shared" si="8"/>
        <v>275932.107017251</v>
      </c>
      <c r="Z12" s="94">
        <f t="shared" si="9"/>
        <v>68983.0267543127</v>
      </c>
      <c r="AA12" s="94">
        <f t="shared" si="10"/>
        <v>137966.053508625</v>
      </c>
      <c r="AB12" s="95">
        <f t="shared" si="11"/>
        <v>182115.190631385</v>
      </c>
      <c r="AC12" s="96">
        <f t="shared" si="12"/>
        <v>1.61632653061224</v>
      </c>
      <c r="AD12" s="87"/>
    </row>
    <row r="13" customHeight="1" spans="1:30">
      <c r="B13" s="87" t="s">
        <v>55</v>
      </c>
      <c r="C13" s="66">
        <v>1600</v>
      </c>
      <c r="D13" s="88" t="s">
        <v>51</v>
      </c>
      <c r="E13" s="66">
        <f t="shared" si="0"/>
        <v>2080</v>
      </c>
      <c r="F13" s="89" t="s">
        <v>52</v>
      </c>
      <c r="G13" s="66">
        <v>64</v>
      </c>
      <c r="H13" s="66">
        <f t="shared" si="13"/>
        <v>64</v>
      </c>
      <c r="I13" s="90" t="s">
        <v>53</v>
      </c>
      <c r="J13" s="91" t="s">
        <v>54</v>
      </c>
      <c r="K13" s="92">
        <v>80</v>
      </c>
      <c r="L13" s="66">
        <v>10</v>
      </c>
      <c r="M13" s="66">
        <v>8</v>
      </c>
      <c r="N13" s="66">
        <v>14</v>
      </c>
      <c r="O13" s="66">
        <v>47.23</v>
      </c>
      <c r="P13" s="66">
        <v>7.65</v>
      </c>
      <c r="Q13" s="66">
        <f t="shared" si="14"/>
        <v>384</v>
      </c>
      <c r="R13" s="66">
        <f t="shared" si="1"/>
        <v>48</v>
      </c>
      <c r="S13" s="93">
        <f t="shared" si="2"/>
        <v>459886.845028751</v>
      </c>
      <c r="T13" s="93">
        <f t="shared" si="3"/>
        <v>114971.711257188</v>
      </c>
      <c r="U13" s="94">
        <f t="shared" si="4"/>
        <v>275932.107017251</v>
      </c>
      <c r="V13" s="94">
        <f t="shared" si="5"/>
        <v>225344.554064088</v>
      </c>
      <c r="W13" s="66">
        <f t="shared" si="6"/>
        <v>384</v>
      </c>
      <c r="X13" s="66">
        <f t="shared" si="7"/>
        <v>48</v>
      </c>
      <c r="Y13" s="94">
        <f t="shared" si="8"/>
        <v>551864.214034501</v>
      </c>
      <c r="Z13" s="94">
        <f t="shared" si="9"/>
        <v>137966.053508625</v>
      </c>
      <c r="AA13" s="94">
        <f t="shared" si="10"/>
        <v>275932.107017251</v>
      </c>
      <c r="AB13" s="95">
        <f t="shared" si="11"/>
        <v>364230.381262771</v>
      </c>
      <c r="AC13" s="96">
        <f t="shared" si="12"/>
        <v>1.61632653061224</v>
      </c>
      <c r="AD13" s="87"/>
    </row>
    <row r="14" customHeight="1" spans="1:30">
      <c r="B14" s="87" t="s">
        <v>55</v>
      </c>
      <c r="C14" s="66">
        <v>1600</v>
      </c>
      <c r="D14" s="88" t="s">
        <v>51</v>
      </c>
      <c r="E14" s="66">
        <f t="shared" si="0"/>
        <v>2080</v>
      </c>
      <c r="F14" s="89" t="s">
        <v>52</v>
      </c>
      <c r="G14" s="66">
        <v>64</v>
      </c>
      <c r="H14" s="66">
        <f t="shared" si="13"/>
        <v>64</v>
      </c>
      <c r="I14" s="90" t="s">
        <v>53</v>
      </c>
      <c r="J14" s="91" t="s">
        <v>54</v>
      </c>
      <c r="K14" s="92">
        <v>150</v>
      </c>
      <c r="L14" s="66">
        <v>10</v>
      </c>
      <c r="M14" s="66">
        <v>8</v>
      </c>
      <c r="N14" s="66">
        <v>14</v>
      </c>
      <c r="O14" s="66">
        <v>47.23</v>
      </c>
      <c r="P14" s="66">
        <v>7.65</v>
      </c>
      <c r="Q14" s="66">
        <f t="shared" si="14"/>
        <v>704</v>
      </c>
      <c r="R14" s="66">
        <f t="shared" si="1"/>
        <v>88</v>
      </c>
      <c r="S14" s="93">
        <f t="shared" si="2"/>
        <v>843125.88255271</v>
      </c>
      <c r="T14" s="93">
        <f t="shared" si="3"/>
        <v>210781.470638178</v>
      </c>
      <c r="U14" s="94">
        <f t="shared" si="4"/>
        <v>505875.529531626</v>
      </c>
      <c r="V14" s="94">
        <f t="shared" si="5"/>
        <v>413131.682450828</v>
      </c>
      <c r="W14" s="66">
        <f t="shared" si="6"/>
        <v>704</v>
      </c>
      <c r="X14" s="66">
        <f t="shared" si="7"/>
        <v>88</v>
      </c>
      <c r="Y14" s="94">
        <f t="shared" si="8"/>
        <v>1011751.05906325</v>
      </c>
      <c r="Z14" s="94">
        <f t="shared" si="9"/>
        <v>252937.764765813</v>
      </c>
      <c r="AA14" s="94">
        <f t="shared" si="10"/>
        <v>505875.529531626</v>
      </c>
      <c r="AB14" s="95">
        <f t="shared" si="11"/>
        <v>667755.698981746</v>
      </c>
      <c r="AC14" s="96">
        <f t="shared" si="12"/>
        <v>1.61632653061224</v>
      </c>
      <c r="AD14" s="87"/>
    </row>
    <row r="15" customHeight="1" spans="1:30">
      <c r="B15" s="89" t="s">
        <v>56</v>
      </c>
      <c r="C15" s="66">
        <v>122</v>
      </c>
      <c r="D15" s="88" t="s">
        <v>51</v>
      </c>
      <c r="E15" s="66">
        <f t="shared" si="0"/>
        <v>158.6</v>
      </c>
      <c r="F15" s="89" t="s">
        <v>52</v>
      </c>
      <c r="G15" s="66">
        <v>64</v>
      </c>
      <c r="H15" s="66">
        <f t="shared" si="13"/>
        <v>4</v>
      </c>
      <c r="I15" s="90" t="s">
        <v>53</v>
      </c>
      <c r="J15" s="91" t="s">
        <v>54</v>
      </c>
      <c r="K15" s="92">
        <v>40</v>
      </c>
      <c r="L15" s="66">
        <v>10</v>
      </c>
      <c r="M15" s="66">
        <v>5</v>
      </c>
      <c r="N15" s="66">
        <v>9</v>
      </c>
      <c r="O15" s="66">
        <v>18.46</v>
      </c>
      <c r="P15" s="66">
        <v>4.87</v>
      </c>
      <c r="Q15" s="66">
        <f t="shared" si="14"/>
        <v>20</v>
      </c>
      <c r="R15" s="66">
        <f t="shared" si="1"/>
        <v>2.5</v>
      </c>
      <c r="S15" s="93">
        <f t="shared" si="2"/>
        <v>102537.302250254</v>
      </c>
      <c r="T15" s="93">
        <f t="shared" si="3"/>
        <v>25634.3255625636</v>
      </c>
      <c r="U15" s="94">
        <f t="shared" si="4"/>
        <v>61522.3813501526</v>
      </c>
      <c r="V15" s="94">
        <f t="shared" si="5"/>
        <v>50243.2781026246</v>
      </c>
      <c r="W15" s="66">
        <f t="shared" si="6"/>
        <v>20</v>
      </c>
      <c r="X15" s="66">
        <f t="shared" si="7"/>
        <v>2.5</v>
      </c>
      <c r="Y15" s="94">
        <f t="shared" si="8"/>
        <v>123044.762700305</v>
      </c>
      <c r="Z15" s="94">
        <f t="shared" si="9"/>
        <v>30761.1906750763</v>
      </c>
      <c r="AA15" s="94">
        <f t="shared" si="10"/>
        <v>61522.3813501526</v>
      </c>
      <c r="AB15" s="95">
        <f t="shared" si="11"/>
        <v>81209.5433822014</v>
      </c>
      <c r="AC15" s="96">
        <f t="shared" si="12"/>
        <v>1.61632653061224</v>
      </c>
      <c r="AD15" s="87"/>
    </row>
    <row r="16" customHeight="1" spans="1:30">
      <c r="B16" s="89" t="s">
        <v>56</v>
      </c>
      <c r="C16" s="66">
        <v>122</v>
      </c>
      <c r="D16" s="88" t="s">
        <v>51</v>
      </c>
      <c r="E16" s="66">
        <f t="shared" si="0"/>
        <v>158.6</v>
      </c>
      <c r="F16" s="89" t="s">
        <v>52</v>
      </c>
      <c r="G16" s="66">
        <v>64</v>
      </c>
      <c r="H16" s="66">
        <f t="shared" si="13"/>
        <v>4</v>
      </c>
      <c r="I16" s="90" t="s">
        <v>53</v>
      </c>
      <c r="J16" s="91" t="s">
        <v>54</v>
      </c>
      <c r="K16" s="92">
        <v>80</v>
      </c>
      <c r="L16" s="66">
        <v>10</v>
      </c>
      <c r="M16" s="66">
        <v>5</v>
      </c>
      <c r="N16" s="66">
        <v>9</v>
      </c>
      <c r="O16" s="66">
        <v>18.46</v>
      </c>
      <c r="P16" s="66">
        <v>4.87</v>
      </c>
      <c r="Q16" s="66">
        <f t="shared" si="14"/>
        <v>36</v>
      </c>
      <c r="R16" s="66">
        <f t="shared" si="1"/>
        <v>4.5</v>
      </c>
      <c r="S16" s="93">
        <f t="shared" si="2"/>
        <v>184567.144050458</v>
      </c>
      <c r="T16" s="93">
        <f t="shared" si="3"/>
        <v>46141.7860126144</v>
      </c>
      <c r="U16" s="94">
        <f t="shared" si="4"/>
        <v>110740.286430275</v>
      </c>
      <c r="V16" s="94">
        <f t="shared" si="5"/>
        <v>90437.9005847243</v>
      </c>
      <c r="W16" s="66">
        <f t="shared" si="6"/>
        <v>36</v>
      </c>
      <c r="X16" s="66">
        <f t="shared" si="7"/>
        <v>4.5</v>
      </c>
      <c r="Y16" s="94">
        <f t="shared" si="8"/>
        <v>221480.572860549</v>
      </c>
      <c r="Z16" s="94">
        <f t="shared" si="9"/>
        <v>55370.1432151373</v>
      </c>
      <c r="AA16" s="94">
        <f t="shared" si="10"/>
        <v>110740.286430275</v>
      </c>
      <c r="AB16" s="95">
        <f t="shared" si="11"/>
        <v>146177.178087963</v>
      </c>
      <c r="AC16" s="96">
        <f t="shared" si="12"/>
        <v>1.61632653061224</v>
      </c>
      <c r="AD16" s="87"/>
    </row>
    <row r="17" customHeight="1" spans="2:30">
      <c r="B17" s="89" t="s">
        <v>56</v>
      </c>
      <c r="C17" s="66">
        <v>122</v>
      </c>
      <c r="D17" s="88" t="s">
        <v>51</v>
      </c>
      <c r="E17" s="66">
        <f t="shared" si="0"/>
        <v>158.6</v>
      </c>
      <c r="F17" s="89" t="s">
        <v>52</v>
      </c>
      <c r="G17" s="66">
        <v>64</v>
      </c>
      <c r="H17" s="66">
        <f t="shared" si="13"/>
        <v>4</v>
      </c>
      <c r="I17" s="90" t="s">
        <v>53</v>
      </c>
      <c r="J17" s="91" t="s">
        <v>54</v>
      </c>
      <c r="K17" s="92">
        <v>150</v>
      </c>
      <c r="L17" s="66">
        <v>10</v>
      </c>
      <c r="M17" s="66">
        <v>5</v>
      </c>
      <c r="N17" s="66">
        <v>9</v>
      </c>
      <c r="O17" s="66">
        <v>18.46</v>
      </c>
      <c r="P17" s="66">
        <v>4.87</v>
      </c>
      <c r="Q17" s="66">
        <f t="shared" si="14"/>
        <v>68</v>
      </c>
      <c r="R17" s="66">
        <f t="shared" si="1"/>
        <v>8.5</v>
      </c>
      <c r="S17" s="93">
        <f t="shared" si="2"/>
        <v>348626.827650865</v>
      </c>
      <c r="T17" s="93">
        <f t="shared" si="3"/>
        <v>87156.7069127162</v>
      </c>
      <c r="U17" s="94">
        <f t="shared" si="4"/>
        <v>209176.096590519</v>
      </c>
      <c r="V17" s="94">
        <f t="shared" si="5"/>
        <v>170827.145548924</v>
      </c>
      <c r="W17" s="66">
        <f t="shared" si="6"/>
        <v>68</v>
      </c>
      <c r="X17" s="66">
        <f t="shared" si="7"/>
        <v>8.5</v>
      </c>
      <c r="Y17" s="94">
        <f t="shared" si="8"/>
        <v>418352.193181038</v>
      </c>
      <c r="Z17" s="94">
        <f t="shared" si="9"/>
        <v>104588.048295259</v>
      </c>
      <c r="AA17" s="94">
        <f t="shared" si="10"/>
        <v>209176.096590519</v>
      </c>
      <c r="AB17" s="95">
        <f t="shared" si="11"/>
        <v>276112.447499485</v>
      </c>
      <c r="AC17" s="96">
        <f t="shared" si="12"/>
        <v>1.61632653061224</v>
      </c>
      <c r="AD17" s="87"/>
    </row>
    <row r="18" customHeight="1" spans="2:30">
      <c r="B18" s="89" t="s">
        <v>57</v>
      </c>
      <c r="C18" s="66">
        <v>1.7</v>
      </c>
      <c r="D18" s="88" t="s">
        <v>51</v>
      </c>
      <c r="E18" s="66">
        <f>C18*1.3</f>
        <v>2.21</v>
      </c>
      <c r="F18" s="89" t="s">
        <v>52</v>
      </c>
      <c r="G18" s="66">
        <v>64</v>
      </c>
      <c r="H18" s="66">
        <f>2^(CEILING(LOG(MAX(E18/G18,1),2),1))</f>
        <v>1</v>
      </c>
      <c r="I18" s="90" t="s">
        <v>58</v>
      </c>
      <c r="J18" s="91" t="s">
        <v>59</v>
      </c>
      <c r="K18" s="92">
        <v>40</v>
      </c>
      <c r="L18" s="87"/>
      <c r="M18" s="66"/>
      <c r="N18" s="66">
        <v>32</v>
      </c>
      <c r="O18" s="66">
        <v>41.1</v>
      </c>
      <c r="P18" s="66">
        <v>10.98</v>
      </c>
      <c r="Q18" s="66">
        <f>IFERROR(ROUNDUP(K18/N18,0)*H18,"")</f>
        <v>2</v>
      </c>
      <c r="R18" s="66">
        <f>Q18/8</f>
        <v>0.25</v>
      </c>
      <c r="S18" s="87"/>
      <c r="T18" s="87"/>
      <c r="U18" s="87"/>
      <c r="V18" s="94">
        <f>IFERROR(ROUNDUP($K18/$N18,0)*$N18*365*24*3600/($P18+IF(ISNUMBER($J18),$J18,VALUE(SUBSTITUTE(UPPER($J18),"K",""))*1024)/$O18)*IF(ISNUMBER($I18),$I18,VALUE(SUBSTITUTE(LOWER($I18),"s",""))),"")</f>
        <v>10121084291.9097</v>
      </c>
      <c r="W18" s="66">
        <f>Q18</f>
        <v>2</v>
      </c>
      <c r="X18" s="66">
        <f>R18</f>
        <v>0.25</v>
      </c>
      <c r="Y18" s="87"/>
      <c r="Z18" s="87"/>
      <c r="AA18" s="87"/>
      <c r="AB18" s="95">
        <f>V18*1.2</f>
        <v>12145301150.2917</v>
      </c>
      <c r="AC18" s="96">
        <f>AB18/V18</f>
        <v>1.2</v>
      </c>
      <c r="AD18" s="87"/>
    </row>
    <row r="19" customHeight="1" spans="2:30">
      <c r="B19" s="89" t="s">
        <v>57</v>
      </c>
      <c r="C19" s="66">
        <v>1.7</v>
      </c>
      <c r="D19" s="88" t="s">
        <v>51</v>
      </c>
      <c r="E19" s="66">
        <f>C19*1.3</f>
        <v>2.21</v>
      </c>
      <c r="F19" s="89" t="s">
        <v>52</v>
      </c>
      <c r="G19" s="66">
        <v>64</v>
      </c>
      <c r="H19" s="66">
        <f>2^(CEILING(LOG(MAX(E19/G19,1),2),1))</f>
        <v>1</v>
      </c>
      <c r="I19" s="90" t="s">
        <v>58</v>
      </c>
      <c r="J19" s="91" t="s">
        <v>59</v>
      </c>
      <c r="K19" s="92">
        <v>80</v>
      </c>
      <c r="L19" s="87"/>
      <c r="M19" s="66"/>
      <c r="N19" s="66">
        <v>32</v>
      </c>
      <c r="O19" s="66">
        <v>41.1</v>
      </c>
      <c r="P19" s="66">
        <v>10.98</v>
      </c>
      <c r="Q19" s="66">
        <f>IFERROR(ROUNDUP(K19/N19,0)*H19,"")</f>
        <v>3</v>
      </c>
      <c r="R19" s="66">
        <f>Q19/8</f>
        <v>0.375</v>
      </c>
      <c r="S19" s="87"/>
      <c r="T19" s="87"/>
      <c r="U19" s="87"/>
      <c r="V19" s="94">
        <f>IFERROR(ROUNDUP($K19/$N19,0)*$N19*365*24*3600/($P19+IF(ISNUMBER($J19),$J19,VALUE(SUBSTITUTE(UPPER($J19),"K",""))*1024)/$O19)*IF(ISNUMBER($I19),$I19,VALUE(SUBSTITUTE(LOWER($I19),"s",""))),"")</f>
        <v>15181626437.8646</v>
      </c>
      <c r="W19" s="66">
        <f>Q19</f>
        <v>3</v>
      </c>
      <c r="X19" s="66">
        <f>R19</f>
        <v>0.375</v>
      </c>
      <c r="Y19" s="87"/>
      <c r="Z19" s="87"/>
      <c r="AA19" s="87"/>
      <c r="AB19" s="95">
        <f>V19*1.2</f>
        <v>18217951725.4375</v>
      </c>
      <c r="AC19" s="96">
        <f>AB19/V19</f>
        <v>1.2</v>
      </c>
      <c r="AD19" s="87"/>
    </row>
    <row r="20" customHeight="1" spans="2:30">
      <c r="B20" s="89" t="s">
        <v>57</v>
      </c>
      <c r="C20" s="66">
        <v>1.7</v>
      </c>
      <c r="D20" s="88" t="s">
        <v>51</v>
      </c>
      <c r="E20" s="66">
        <f>C20*1.3</f>
        <v>2.21</v>
      </c>
      <c r="F20" s="89" t="s">
        <v>52</v>
      </c>
      <c r="G20" s="66">
        <v>64</v>
      </c>
      <c r="H20" s="66">
        <f>2^(CEILING(LOG(MAX(E20/G20,1),2),1))</f>
        <v>1</v>
      </c>
      <c r="I20" s="90" t="s">
        <v>58</v>
      </c>
      <c r="J20" s="91" t="s">
        <v>59</v>
      </c>
      <c r="K20" s="92">
        <v>150</v>
      </c>
      <c r="L20" s="87"/>
      <c r="M20" s="66"/>
      <c r="N20" s="66">
        <v>32</v>
      </c>
      <c r="O20" s="66">
        <v>41.1</v>
      </c>
      <c r="P20" s="66">
        <v>10.98</v>
      </c>
      <c r="Q20" s="66">
        <f>IFERROR(ROUNDUP(K20/N20,0)*H20,"")</f>
        <v>5</v>
      </c>
      <c r="R20" s="66">
        <f>Q20/8</f>
        <v>0.625</v>
      </c>
      <c r="S20" s="87"/>
      <c r="T20" s="87"/>
      <c r="U20" s="87"/>
      <c r="V20" s="94">
        <f>IFERROR(ROUNDUP($K20/$N20,0)*$N20*365*24*3600/($P20+IF(ISNUMBER($J20),$J20,VALUE(SUBSTITUTE(UPPER($J20),"K",""))*1024)/$O20)*IF(ISNUMBER($I20),$I20,VALUE(SUBSTITUTE(LOWER($I20),"s",""))),"")</f>
        <v>25302710729.7743</v>
      </c>
      <c r="W20" s="66">
        <f>Q20</f>
        <v>5</v>
      </c>
      <c r="X20" s="66">
        <f>R20</f>
        <v>0.625</v>
      </c>
      <c r="Y20" s="87"/>
      <c r="Z20" s="87"/>
      <c r="AA20" s="87"/>
      <c r="AB20" s="95">
        <f>V20*1.2</f>
        <v>30363252875.7292</v>
      </c>
      <c r="AC20" s="96">
        <f>AB20/V20</f>
        <v>1.2</v>
      </c>
      <c r="AD20" s="87"/>
    </row>
    <row r="21" customHeight="1" spans="2:30">
      <c r="B21" s="87"/>
      <c r="C21" s="87"/>
      <c r="D21" s="41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</row>
    <row r="22" customHeight="1" spans="2:30">
      <c r="B22" s="87"/>
      <c r="C22" s="87"/>
      <c r="D22" s="41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</row>
  </sheetData>
  <mergeCells count="18">
    <mergeCell ref="B5:H5"/>
    <mergeCell ref="I5:M5"/>
    <mergeCell ref="Q5:AB5"/>
    <mergeCell ref="L6:M6"/>
    <mergeCell ref="N6:P6"/>
    <mergeCell ref="Q6:V6"/>
    <mergeCell ref="W6:AC6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D6:AD7"/>
  </mergeCells>
  <dataValidations count="4">
    <dataValidation allowBlank="1" sqref="C8:D8 F8:G8 B5:B65536 D5:D7 D9:D16 D17:D20 D21:D65536 F5:F7 F9:F16 F17:F20 F21:F65536 I5:I17 I18:I20 I21:I65536 J6:J7" errorStyle="information"/>
    <dataValidation type="list" allowBlank="1" showInputMessage="1" showErrorMessage="1" sqref="C9:C11">
      <formula1>"1,2,4,8"</formula1>
    </dataValidation>
    <dataValidation type="list" allowBlank="1" showInputMessage="1" showErrorMessage="1" sqref="G9:G16 G17:G20">
      <formula1>"1,2,3,4,5,6,7,8"</formula1>
    </dataValidation>
    <dataValidation allowBlank="1" showInputMessage="1" showErrorMessage="1" sqref="H9:H16 H17:H20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17"/>
  <sheetViews>
    <sheetView tabSelected="1" zoomScale="90" zoomScaleNormal="90" topLeftCell="Q2" workbookViewId="0">
      <pane ySplit="1" topLeftCell="A13" activePane="bottomLeft" state="frozen"/>
      <selection/>
      <selection pane="bottomLeft" activeCell="Q13" sqref="Q13:Q15"/>
    </sheetView>
  </sheetViews>
  <sheetFormatPr defaultColWidth="6.88148148148148" defaultRowHeight="15" customHeight="1"/>
  <cols>
    <col min="1" max="1" width="6.88148148148148" style="5"/>
    <col min="2" max="2" width="18.7925925925926" style="5" customWidth="1"/>
    <col min="3" max="3" width="15.7777777777778" style="5" customWidth="1"/>
    <col min="4" max="4" width="33.3703703703704" style="5" customWidth="1"/>
    <col min="5" max="5" width="9.17777777777778" style="5" customWidth="1"/>
    <col min="6" max="6" width="11.7777777777778" style="5" customWidth="1"/>
    <col min="7" max="7" width="10.4814814814815" style="5" customWidth="1"/>
    <col min="8" max="8" width="9.17777777777778" style="5" customWidth="1"/>
    <col min="9" max="9" width="15.2" style="5" customWidth="1"/>
    <col min="10" max="10" width="15.6" style="5" customWidth="1"/>
    <col min="11" max="11" width="12.7925925925926" style="5" customWidth="1"/>
    <col min="12" max="12" width="12.5851851851852" style="5" customWidth="1"/>
    <col min="13" max="13" width="10.6518518518519" style="5" customWidth="1"/>
    <col min="14" max="14" width="18.6888888888889" style="5" customWidth="1"/>
    <col min="15" max="15" width="14.1555555555556" style="5" customWidth="1"/>
    <col min="16" max="16" width="20.1703703703704" style="5" customWidth="1"/>
    <col min="17" max="17" width="21.9259259259259" style="5" customWidth="1"/>
    <col min="18" max="24" width="22.9407407407407" style="5" customWidth="1"/>
    <col min="25" max="25" width="14.5481481481481" style="5" customWidth="1"/>
    <col min="26" max="16384" width="6.88148148148148" style="5"/>
  </cols>
  <sheetData>
    <row r="1" s="1" customFormat="1" customHeight="1" spans="2:24">
      <c r="B1" s="6" t="s">
        <v>60</v>
      </c>
      <c r="C1" s="6"/>
      <c r="D1" s="6"/>
      <c r="E1" s="7" t="s">
        <v>61</v>
      </c>
      <c r="F1" s="8"/>
      <c r="G1" s="8"/>
      <c r="H1" s="7" t="s">
        <v>62</v>
      </c>
      <c r="I1" s="8"/>
      <c r="J1" s="8"/>
      <c r="K1" s="8"/>
      <c r="L1" s="8"/>
      <c r="M1" s="9"/>
      <c r="N1" s="10" t="s">
        <v>63</v>
      </c>
      <c r="O1" s="11"/>
      <c r="P1" s="11"/>
      <c r="Q1" s="11"/>
      <c r="R1" s="12"/>
      <c r="S1" s="13" t="s">
        <v>64</v>
      </c>
      <c r="T1" s="12"/>
      <c r="U1" s="12"/>
      <c r="V1" s="14" t="s">
        <v>65</v>
      </c>
      <c r="W1" s="14"/>
      <c r="X1" s="6" t="s">
        <v>25</v>
      </c>
    </row>
    <row r="2" s="1" customFormat="1" ht="52.5" customHeight="1" spans="2:24">
      <c r="B2" s="6" t="s">
        <v>66</v>
      </c>
      <c r="C2" s="6" t="s">
        <v>67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15" t="s">
        <v>74</v>
      </c>
      <c r="K2" s="15" t="s">
        <v>75</v>
      </c>
      <c r="L2" s="15" t="s">
        <v>76</v>
      </c>
      <c r="M2" s="15" t="s">
        <v>77</v>
      </c>
      <c r="N2" s="15" t="s">
        <v>78</v>
      </c>
      <c r="O2" s="15" t="s">
        <v>79</v>
      </c>
      <c r="P2" s="15" t="s">
        <v>80</v>
      </c>
      <c r="Q2" s="15" t="s">
        <v>81</v>
      </c>
      <c r="R2" s="16" t="s">
        <v>82</v>
      </c>
      <c r="S2" s="16" t="s">
        <v>79</v>
      </c>
      <c r="T2" s="16" t="s">
        <v>80</v>
      </c>
      <c r="U2" s="16" t="s">
        <v>81</v>
      </c>
      <c r="V2" s="15" t="s">
        <v>83</v>
      </c>
      <c r="W2" s="15" t="s">
        <v>84</v>
      </c>
      <c r="X2" s="6"/>
    </row>
    <row r="3" s="2" customFormat="1" ht="31.95" customHeight="1" spans="2:24">
      <c r="B3" s="17"/>
      <c r="C3" s="17"/>
      <c r="D3" s="17"/>
      <c r="E3" s="17"/>
      <c r="F3" s="17"/>
      <c r="G3" s="17"/>
      <c r="H3" s="17"/>
      <c r="I3" s="18" t="s">
        <v>85</v>
      </c>
      <c r="J3" s="18" t="s">
        <v>86</v>
      </c>
      <c r="K3" s="18" t="s">
        <v>87</v>
      </c>
      <c r="L3" s="18" t="s">
        <v>88</v>
      </c>
      <c r="M3" s="18" t="s">
        <v>89</v>
      </c>
      <c r="N3" s="18" t="s">
        <v>90</v>
      </c>
      <c r="O3" s="18"/>
      <c r="P3" s="18" t="s">
        <v>91</v>
      </c>
      <c r="Q3" s="18"/>
      <c r="R3" s="17"/>
      <c r="S3" s="17"/>
      <c r="T3" s="17"/>
      <c r="U3" s="17"/>
      <c r="V3" s="17"/>
      <c r="W3" s="17"/>
      <c r="X3" s="17"/>
    </row>
    <row r="4" s="3" customFormat="1" ht="30" customHeight="1" spans="2:24">
      <c r="B4" s="19" t="s">
        <v>92</v>
      </c>
      <c r="C4" s="20" t="s">
        <v>93</v>
      </c>
      <c r="D4" s="21" t="s">
        <v>94</v>
      </c>
      <c r="E4" s="19" t="s">
        <v>95</v>
      </c>
      <c r="F4" s="20" t="s">
        <v>96</v>
      </c>
      <c r="G4" s="19" t="s">
        <v>97</v>
      </c>
      <c r="H4" s="19">
        <v>5</v>
      </c>
      <c r="I4" s="22">
        <f>H4*1700000</f>
        <v>8500000</v>
      </c>
      <c r="J4" s="19">
        <f>H4*(1500*0.05*12*31)*0.0001</f>
        <v>13.95</v>
      </c>
      <c r="K4" s="19">
        <f>7*H4*800*12*0.0001</f>
        <v>33.6</v>
      </c>
      <c r="L4" s="19">
        <f>I4*0.33*0.0001</f>
        <v>280.5</v>
      </c>
      <c r="M4" s="23">
        <f>(J4+K4+L4)*10000</f>
        <v>3280500</v>
      </c>
      <c r="N4" s="24">
        <v>40572.613656865</v>
      </c>
      <c r="O4" s="25">
        <f t="shared" ref="O4:O9" si="0">M4/(N4)</f>
        <v>80.8550326026366</v>
      </c>
      <c r="P4" s="25">
        <f>(250*1/3*0.2)/365</f>
        <v>0.045662100456621</v>
      </c>
      <c r="Q4" s="26">
        <f t="shared" ref="Q4:Q9" si="1">O4/P4</f>
        <v>1770.72521399774</v>
      </c>
      <c r="R4" s="27">
        <v>65578.5918698717</v>
      </c>
      <c r="S4" s="19">
        <f>M4/R4</f>
        <v>50.0239469384999</v>
      </c>
      <c r="T4" s="25">
        <f t="shared" ref="T4:T12" si="2">(250*1/3*0.2)/365</f>
        <v>0.045662100456621</v>
      </c>
      <c r="U4" s="19">
        <f>S4/T4</f>
        <v>1095.52443795315</v>
      </c>
      <c r="V4" s="19">
        <f>U4*1.3</f>
        <v>1424.18176933909</v>
      </c>
      <c r="W4" s="19">
        <f>V4*1.5</f>
        <v>2136.27265400864</v>
      </c>
      <c r="X4" s="19"/>
    </row>
    <row r="5" s="3" customFormat="1" ht="30" customHeight="1" spans="2:24">
      <c r="B5" s="28" t="s">
        <v>98</v>
      </c>
      <c r="C5" s="29" t="s">
        <v>99</v>
      </c>
      <c r="D5" s="21" t="s">
        <v>94</v>
      </c>
      <c r="E5" s="28" t="s">
        <v>100</v>
      </c>
      <c r="F5" s="29" t="s">
        <v>96</v>
      </c>
      <c r="G5" s="28" t="s">
        <v>97</v>
      </c>
      <c r="H5" s="28">
        <v>9</v>
      </c>
      <c r="I5" s="30">
        <f t="shared" ref="I4:I12" si="3">H5*1700000</f>
        <v>15300000</v>
      </c>
      <c r="J5" s="19">
        <f t="shared" ref="J5:J12" si="4">H5*(1500*0.05*12*31)*0.0001</f>
        <v>25.11</v>
      </c>
      <c r="K5" s="19">
        <f>7*H5*800*12*0.0001</f>
        <v>60.48</v>
      </c>
      <c r="L5" s="19">
        <f t="shared" ref="L5:L12" si="5">I5*0.33*0.0001</f>
        <v>504.9</v>
      </c>
      <c r="M5" s="23">
        <f t="shared" ref="M5:M12" si="6">(J5+K5+L5)*10000</f>
        <v>5904900</v>
      </c>
      <c r="N5" s="24">
        <v>73030.7045823571</v>
      </c>
      <c r="O5" s="25">
        <f t="shared" si="0"/>
        <v>80.8550326026365</v>
      </c>
      <c r="P5" s="25">
        <f t="shared" ref="P4:P15" si="7">(250*1/3*0.2)/365</f>
        <v>0.045662100456621</v>
      </c>
      <c r="Q5" s="26">
        <f t="shared" si="1"/>
        <v>1770.72521399774</v>
      </c>
      <c r="R5" s="31">
        <v>118041.465365769</v>
      </c>
      <c r="S5" s="19">
        <f t="shared" ref="S5:S12" si="8">M5/R5</f>
        <v>50.0239469384999</v>
      </c>
      <c r="T5" s="25">
        <f t="shared" si="2"/>
        <v>0.045662100456621</v>
      </c>
      <c r="U5" s="19">
        <f t="shared" ref="U5:U12" si="9">S5/T5</f>
        <v>1095.52443795315</v>
      </c>
      <c r="V5" s="19">
        <f t="shared" ref="V5:V12" si="10">U5*1.3</f>
        <v>1424.18176933909</v>
      </c>
      <c r="W5" s="19">
        <f t="shared" ref="W5:W12" si="11">V5*1.5</f>
        <v>2136.27265400864</v>
      </c>
      <c r="X5" s="28"/>
    </row>
    <row r="6" s="3" customFormat="1" ht="30" customHeight="1" spans="2:24">
      <c r="B6" s="28" t="s">
        <v>101</v>
      </c>
      <c r="C6" s="29" t="s">
        <v>102</v>
      </c>
      <c r="D6" s="21" t="s">
        <v>94</v>
      </c>
      <c r="E6" s="28" t="s">
        <v>103</v>
      </c>
      <c r="F6" s="29" t="s">
        <v>96</v>
      </c>
      <c r="G6" s="28" t="s">
        <v>97</v>
      </c>
      <c r="H6" s="28">
        <v>17</v>
      </c>
      <c r="I6" s="30">
        <f t="shared" si="3"/>
        <v>28900000</v>
      </c>
      <c r="J6" s="19">
        <f t="shared" si="4"/>
        <v>47.43</v>
      </c>
      <c r="K6" s="19">
        <f t="shared" ref="K5:K12" si="12">7*H6*800*12*0.0001</f>
        <v>114.24</v>
      </c>
      <c r="L6" s="19">
        <f t="shared" si="5"/>
        <v>953.7</v>
      </c>
      <c r="M6" s="23">
        <f t="shared" si="6"/>
        <v>11153700</v>
      </c>
      <c r="N6" s="24">
        <v>137946.886433341</v>
      </c>
      <c r="O6" s="25">
        <f t="shared" si="0"/>
        <v>80.8550326026366</v>
      </c>
      <c r="P6" s="25">
        <f t="shared" si="7"/>
        <v>0.045662100456621</v>
      </c>
      <c r="Q6" s="26">
        <f t="shared" si="1"/>
        <v>1770.72521399774</v>
      </c>
      <c r="R6" s="31">
        <v>222967.212357564</v>
      </c>
      <c r="S6" s="19">
        <f t="shared" si="8"/>
        <v>50.0239469384999</v>
      </c>
      <c r="T6" s="25">
        <f t="shared" si="2"/>
        <v>0.045662100456621</v>
      </c>
      <c r="U6" s="19">
        <f t="shared" si="9"/>
        <v>1095.52443795315</v>
      </c>
      <c r="V6" s="19">
        <f t="shared" si="10"/>
        <v>1424.18176933909</v>
      </c>
      <c r="W6" s="19">
        <f t="shared" si="11"/>
        <v>2136.27265400864</v>
      </c>
      <c r="X6" s="28"/>
    </row>
    <row r="7" s="3" customFormat="1" ht="30" customHeight="1" spans="2:24">
      <c r="B7" s="20" t="s">
        <v>104</v>
      </c>
      <c r="C7" s="20" t="s">
        <v>93</v>
      </c>
      <c r="D7" s="21" t="s">
        <v>105</v>
      </c>
      <c r="E7" s="20" t="s">
        <v>106</v>
      </c>
      <c r="F7" s="32" t="s">
        <v>107</v>
      </c>
      <c r="G7" s="33" t="s">
        <v>108</v>
      </c>
      <c r="H7" s="33">
        <v>16</v>
      </c>
      <c r="I7" s="22">
        <f t="shared" si="3"/>
        <v>27200000</v>
      </c>
      <c r="J7" s="19">
        <f t="shared" si="4"/>
        <v>44.64</v>
      </c>
      <c r="K7" s="19">
        <f t="shared" si="12"/>
        <v>107.52</v>
      </c>
      <c r="L7" s="19">
        <f t="shared" si="5"/>
        <v>897.6</v>
      </c>
      <c r="M7" s="23">
        <f t="shared" si="6"/>
        <v>10497600</v>
      </c>
      <c r="N7" s="34">
        <v>112672.277032044</v>
      </c>
      <c r="O7" s="25">
        <f t="shared" si="0"/>
        <v>93.169325024065</v>
      </c>
      <c r="P7" s="25">
        <f t="shared" si="7"/>
        <v>0.045662100456621</v>
      </c>
      <c r="Q7" s="26">
        <f t="shared" si="1"/>
        <v>2040.40821802702</v>
      </c>
      <c r="R7" s="31">
        <v>182115.190631385</v>
      </c>
      <c r="S7" s="19">
        <f t="shared" si="8"/>
        <v>57.6426379568079</v>
      </c>
      <c r="T7" s="25">
        <f t="shared" si="2"/>
        <v>0.045662100456621</v>
      </c>
      <c r="U7" s="19">
        <f t="shared" si="9"/>
        <v>1262.37377125409</v>
      </c>
      <c r="V7" s="19">
        <f t="shared" si="10"/>
        <v>1641.08590263032</v>
      </c>
      <c r="W7" s="19">
        <f t="shared" si="11"/>
        <v>2461.62885394548</v>
      </c>
      <c r="X7" s="33"/>
    </row>
    <row r="8" s="3" customFormat="1" ht="30" customHeight="1" spans="2:24">
      <c r="B8" s="29" t="s">
        <v>109</v>
      </c>
      <c r="C8" s="29" t="s">
        <v>99</v>
      </c>
      <c r="D8" s="21" t="s">
        <v>105</v>
      </c>
      <c r="E8" s="29" t="s">
        <v>110</v>
      </c>
      <c r="F8" s="33" t="s">
        <v>107</v>
      </c>
      <c r="G8" s="33" t="s">
        <v>108</v>
      </c>
      <c r="H8" s="33">
        <v>24</v>
      </c>
      <c r="I8" s="30">
        <f t="shared" si="3"/>
        <v>40800000</v>
      </c>
      <c r="J8" s="19">
        <f t="shared" si="4"/>
        <v>66.96</v>
      </c>
      <c r="K8" s="19">
        <f t="shared" si="12"/>
        <v>161.28</v>
      </c>
      <c r="L8" s="19">
        <f t="shared" si="5"/>
        <v>1346.4</v>
      </c>
      <c r="M8" s="23">
        <f t="shared" si="6"/>
        <v>15746400</v>
      </c>
      <c r="N8" s="34">
        <v>225344.554064088</v>
      </c>
      <c r="O8" s="25">
        <f t="shared" si="0"/>
        <v>69.8769937680487</v>
      </c>
      <c r="P8" s="25">
        <f t="shared" si="7"/>
        <v>0.045662100456621</v>
      </c>
      <c r="Q8" s="26">
        <f t="shared" si="1"/>
        <v>1530.30616352027</v>
      </c>
      <c r="R8" s="31">
        <v>364230.381262771</v>
      </c>
      <c r="S8" s="19">
        <f t="shared" si="8"/>
        <v>43.2319784676059</v>
      </c>
      <c r="T8" s="25">
        <f t="shared" si="2"/>
        <v>0.045662100456621</v>
      </c>
      <c r="U8" s="19">
        <f t="shared" si="9"/>
        <v>946.780328440569</v>
      </c>
      <c r="V8" s="19">
        <f t="shared" si="10"/>
        <v>1230.81442697274</v>
      </c>
      <c r="W8" s="19">
        <f t="shared" si="11"/>
        <v>1846.22164045911</v>
      </c>
      <c r="X8" s="33"/>
    </row>
    <row r="9" s="3" customFormat="1" ht="30" customHeight="1" spans="2:24">
      <c r="B9" s="29" t="s">
        <v>111</v>
      </c>
      <c r="C9" s="29" t="s">
        <v>102</v>
      </c>
      <c r="D9" s="21" t="s">
        <v>105</v>
      </c>
      <c r="E9" s="29" t="s">
        <v>112</v>
      </c>
      <c r="F9" s="33" t="s">
        <v>107</v>
      </c>
      <c r="G9" s="33" t="s">
        <v>108</v>
      </c>
      <c r="H9" s="33">
        <v>38</v>
      </c>
      <c r="I9" s="30">
        <f t="shared" si="3"/>
        <v>64600000</v>
      </c>
      <c r="J9" s="19">
        <f t="shared" si="4"/>
        <v>106.02</v>
      </c>
      <c r="K9" s="19">
        <f t="shared" si="12"/>
        <v>255.36</v>
      </c>
      <c r="L9" s="19">
        <f t="shared" si="5"/>
        <v>2131.8</v>
      </c>
      <c r="M9" s="23">
        <f t="shared" si="6"/>
        <v>24931800</v>
      </c>
      <c r="N9" s="34">
        <v>413131.682450828</v>
      </c>
      <c r="O9" s="25">
        <f t="shared" si="0"/>
        <v>60.3483127996785</v>
      </c>
      <c r="P9" s="25">
        <f t="shared" si="7"/>
        <v>0.045662100456621</v>
      </c>
      <c r="Q9" s="26">
        <f t="shared" si="1"/>
        <v>1321.62805031296</v>
      </c>
      <c r="R9" s="31">
        <v>667755.698981746</v>
      </c>
      <c r="S9" s="19">
        <f t="shared" si="8"/>
        <v>37.3367086765687</v>
      </c>
      <c r="T9" s="25">
        <f t="shared" si="2"/>
        <v>0.045662100456621</v>
      </c>
      <c r="U9" s="19">
        <f t="shared" si="9"/>
        <v>817.673920016856</v>
      </c>
      <c r="V9" s="19">
        <f t="shared" si="10"/>
        <v>1062.97609602191</v>
      </c>
      <c r="W9" s="19">
        <f t="shared" si="11"/>
        <v>1594.46414403287</v>
      </c>
      <c r="X9" s="33"/>
    </row>
    <row r="10" s="3" customFormat="1" ht="30" customHeight="1" spans="2:24">
      <c r="B10" s="20" t="s">
        <v>113</v>
      </c>
      <c r="C10" s="20" t="s">
        <v>93</v>
      </c>
      <c r="D10" s="35" t="s">
        <v>114</v>
      </c>
      <c r="E10" s="19" t="s">
        <v>95</v>
      </c>
      <c r="F10" s="32" t="s">
        <v>115</v>
      </c>
      <c r="G10" s="32" t="s">
        <v>56</v>
      </c>
      <c r="H10" s="33">
        <v>6</v>
      </c>
      <c r="I10" s="22">
        <f t="shared" si="3"/>
        <v>10200000</v>
      </c>
      <c r="J10" s="19">
        <f t="shared" si="4"/>
        <v>16.74</v>
      </c>
      <c r="K10" s="19">
        <f t="shared" si="12"/>
        <v>40.32</v>
      </c>
      <c r="L10" s="19">
        <f t="shared" si="5"/>
        <v>336.6</v>
      </c>
      <c r="M10" s="23">
        <f t="shared" si="6"/>
        <v>3936600</v>
      </c>
      <c r="N10" s="34">
        <v>50243.2781026246</v>
      </c>
      <c r="O10" s="25">
        <f t="shared" ref="O7:O12" si="13">M10/(N10)</f>
        <v>78.3507794208666</v>
      </c>
      <c r="P10" s="25">
        <f t="shared" si="7"/>
        <v>0.045662100456621</v>
      </c>
      <c r="Q10" s="26">
        <f t="shared" ref="Q7:Q13" si="14">O10/P10</f>
        <v>1715.88206931698</v>
      </c>
      <c r="R10" s="31">
        <v>81209.5433822014</v>
      </c>
      <c r="S10" s="19">
        <f t="shared" si="8"/>
        <v>48.4745983790715</v>
      </c>
      <c r="T10" s="25">
        <f t="shared" si="2"/>
        <v>0.045662100456621</v>
      </c>
      <c r="U10" s="19">
        <f t="shared" si="9"/>
        <v>1061.59370450167</v>
      </c>
      <c r="V10" s="19">
        <f t="shared" si="10"/>
        <v>1380.07181585217</v>
      </c>
      <c r="W10" s="19">
        <f t="shared" si="11"/>
        <v>2070.10772377825</v>
      </c>
      <c r="X10" s="33"/>
    </row>
    <row r="11" s="3" customFormat="1" ht="30" customHeight="1" spans="2:24">
      <c r="B11" s="36" t="s">
        <v>116</v>
      </c>
      <c r="C11" s="36" t="s">
        <v>99</v>
      </c>
      <c r="D11" s="37" t="s">
        <v>114</v>
      </c>
      <c r="E11" s="38" t="s">
        <v>100</v>
      </c>
      <c r="F11" s="39" t="s">
        <v>115</v>
      </c>
      <c r="G11" s="32" t="s">
        <v>56</v>
      </c>
      <c r="H11" s="33">
        <v>12</v>
      </c>
      <c r="I11" s="30">
        <f t="shared" si="3"/>
        <v>20400000</v>
      </c>
      <c r="J11" s="19">
        <f t="shared" si="4"/>
        <v>33.48</v>
      </c>
      <c r="K11" s="19">
        <f t="shared" si="12"/>
        <v>80.64</v>
      </c>
      <c r="L11" s="19">
        <f t="shared" si="5"/>
        <v>673.2</v>
      </c>
      <c r="M11" s="23">
        <f t="shared" si="6"/>
        <v>7873200</v>
      </c>
      <c r="N11" s="34">
        <v>90437.9005847243</v>
      </c>
      <c r="O11" s="25">
        <f t="shared" si="13"/>
        <v>87.0564215787407</v>
      </c>
      <c r="P11" s="25">
        <f t="shared" si="7"/>
        <v>0.045662100456621</v>
      </c>
      <c r="Q11" s="26">
        <f t="shared" si="14"/>
        <v>1906.53563257442</v>
      </c>
      <c r="R11" s="31">
        <v>146177.178087963</v>
      </c>
      <c r="S11" s="19">
        <f t="shared" si="8"/>
        <v>53.8606648656351</v>
      </c>
      <c r="T11" s="25">
        <f t="shared" si="2"/>
        <v>0.045662100456621</v>
      </c>
      <c r="U11" s="19">
        <f t="shared" si="9"/>
        <v>1179.54856055741</v>
      </c>
      <c r="V11" s="19">
        <f t="shared" si="10"/>
        <v>1533.41312872463</v>
      </c>
      <c r="W11" s="19">
        <f t="shared" si="11"/>
        <v>2300.11969308694</v>
      </c>
      <c r="X11" s="33"/>
    </row>
    <row r="12" s="3" customFormat="1" ht="30" customHeight="1" spans="2:24">
      <c r="B12" s="40" t="s">
        <v>117</v>
      </c>
      <c r="C12" s="40" t="s">
        <v>102</v>
      </c>
      <c r="D12" s="41" t="s">
        <v>114</v>
      </c>
      <c r="E12" s="42" t="s">
        <v>103</v>
      </c>
      <c r="F12" s="42" t="s">
        <v>115</v>
      </c>
      <c r="G12" s="43" t="s">
        <v>56</v>
      </c>
      <c r="H12" s="33">
        <v>21</v>
      </c>
      <c r="I12" s="30">
        <f t="shared" si="3"/>
        <v>35700000</v>
      </c>
      <c r="J12" s="19">
        <f t="shared" si="4"/>
        <v>58.59</v>
      </c>
      <c r="K12" s="19">
        <f t="shared" si="12"/>
        <v>141.12</v>
      </c>
      <c r="L12" s="19">
        <f t="shared" si="5"/>
        <v>1178.1</v>
      </c>
      <c r="M12" s="23">
        <f t="shared" si="6"/>
        <v>13778100</v>
      </c>
      <c r="N12" s="34">
        <v>170827.145548924</v>
      </c>
      <c r="O12" s="25">
        <f t="shared" si="13"/>
        <v>80.6552141097157</v>
      </c>
      <c r="P12" s="25">
        <f t="shared" si="7"/>
        <v>0.045662100456621</v>
      </c>
      <c r="Q12" s="26">
        <f t="shared" si="14"/>
        <v>1766.34918900277</v>
      </c>
      <c r="R12" s="31">
        <v>276112.447499485</v>
      </c>
      <c r="S12" s="19">
        <f t="shared" si="8"/>
        <v>49.9003218608089</v>
      </c>
      <c r="T12" s="25">
        <f t="shared" si="2"/>
        <v>0.045662100456621</v>
      </c>
      <c r="U12" s="19">
        <f t="shared" si="9"/>
        <v>1092.81704875172</v>
      </c>
      <c r="V12" s="19">
        <f t="shared" si="10"/>
        <v>1420.66216337723</v>
      </c>
      <c r="W12" s="19">
        <f t="shared" si="11"/>
        <v>2130.99324506585</v>
      </c>
      <c r="X12" s="33"/>
    </row>
    <row r="13" s="4" customFormat="1" ht="30" customHeight="1" spans="2:24">
      <c r="B13" s="44"/>
      <c r="C13" s="20" t="s">
        <v>93</v>
      </c>
      <c r="D13" s="45"/>
      <c r="E13" s="44"/>
      <c r="F13" s="46" t="s">
        <v>118</v>
      </c>
      <c r="G13" s="47" t="s">
        <v>119</v>
      </c>
      <c r="H13" s="48">
        <v>0.25</v>
      </c>
      <c r="I13" s="49">
        <f>H13*1700000</f>
        <v>425000</v>
      </c>
      <c r="J13" s="50">
        <f>H13*(1500*0.05*12*31)*0.0001</f>
        <v>0.6975</v>
      </c>
      <c r="K13" s="50">
        <f>7*H13*800*12*0.0001</f>
        <v>1.68</v>
      </c>
      <c r="L13" s="50">
        <f>I13*0.33*0.0001</f>
        <v>14.025</v>
      </c>
      <c r="M13" s="51">
        <f>(J13+K13+L13)*10000</f>
        <v>164025</v>
      </c>
      <c r="N13" s="52">
        <v>10121084291.9097</v>
      </c>
      <c r="O13" s="53">
        <f>M13/(N13)</f>
        <v>1.62062675568381e-5</v>
      </c>
      <c r="P13" s="53">
        <f t="shared" si="7"/>
        <v>0.045662100456621</v>
      </c>
      <c r="Q13" s="54">
        <f t="shared" si="14"/>
        <v>0.000354917259494754</v>
      </c>
      <c r="R13" s="55">
        <v>12145301150.2917</v>
      </c>
      <c r="S13" s="50">
        <f>M13/R13*1000000</f>
        <v>13.5052229640317</v>
      </c>
      <c r="T13" s="53">
        <f>(250*1/3*0.2)/365</f>
        <v>0.045662100456621</v>
      </c>
      <c r="U13" s="50">
        <f>S13/T13/1000000</f>
        <v>0.000295764382912295</v>
      </c>
      <c r="V13" s="50">
        <f>U13*1.3</f>
        <v>0.000384493697785983</v>
      </c>
      <c r="W13" s="50">
        <f>V13*1.5</f>
        <v>0.000576740546678975</v>
      </c>
      <c r="X13" s="56"/>
    </row>
    <row r="14" s="4" customFormat="1" ht="33.75" customHeight="1" spans="2:24">
      <c r="B14" s="57"/>
      <c r="C14" s="36" t="s">
        <v>99</v>
      </c>
      <c r="D14" s="57"/>
      <c r="E14" s="57"/>
      <c r="F14" s="46" t="s">
        <v>118</v>
      </c>
      <c r="G14" s="58" t="s">
        <v>119</v>
      </c>
      <c r="H14" s="57">
        <v>0.375</v>
      </c>
      <c r="I14" s="59">
        <f>H14*1700000</f>
        <v>637500</v>
      </c>
      <c r="J14" s="50">
        <f>H14*(1500*0.05*12*31)*0.0001</f>
        <v>1.04625</v>
      </c>
      <c r="K14" s="50">
        <f>7*H14*800*12*0.0001</f>
        <v>2.52</v>
      </c>
      <c r="L14" s="50">
        <f>I14*0.33*0.0001</f>
        <v>21.0375</v>
      </c>
      <c r="M14" s="60">
        <f>(J14+K14+L14)*10000</f>
        <v>246037.5</v>
      </c>
      <c r="N14" s="52">
        <v>15181626437.8646</v>
      </c>
      <c r="O14" s="53">
        <f>M14/(N14)</f>
        <v>1.62062675568381e-5</v>
      </c>
      <c r="P14" s="53">
        <f t="shared" si="7"/>
        <v>0.045662100456621</v>
      </c>
      <c r="Q14" s="54">
        <f>O14/P14</f>
        <v>0.000354917259494754</v>
      </c>
      <c r="R14" s="61">
        <v>18217951725.4375</v>
      </c>
      <c r="S14" s="50">
        <f>M14/R14*1000000</f>
        <v>13.5052229640317</v>
      </c>
      <c r="T14" s="53">
        <f>(250*1/3*0.2)/365</f>
        <v>0.045662100456621</v>
      </c>
      <c r="U14" s="50">
        <f>S14/T14/1000000</f>
        <v>0.000295764382912295</v>
      </c>
      <c r="V14" s="50">
        <f>U14*1.3</f>
        <v>0.000384493697785983</v>
      </c>
      <c r="W14" s="50">
        <f>V14*1.5</f>
        <v>0.000576740546678975</v>
      </c>
    </row>
    <row r="15" s="4" customFormat="1" ht="40.9" customHeight="1" spans="2:24">
      <c r="B15" s="57"/>
      <c r="C15" s="40" t="s">
        <v>102</v>
      </c>
      <c r="D15" s="57"/>
      <c r="E15" s="57"/>
      <c r="F15" s="46" t="s">
        <v>118</v>
      </c>
      <c r="G15" s="58" t="s">
        <v>119</v>
      </c>
      <c r="H15" s="57">
        <v>0.625</v>
      </c>
      <c r="I15" s="59">
        <f>H15*1700000</f>
        <v>1062500</v>
      </c>
      <c r="J15" s="50">
        <f>H15*(1500*0.05*12*31)*0.0001</f>
        <v>1.74375</v>
      </c>
      <c r="K15" s="50">
        <f>7*H15*800*12*0.0001</f>
        <v>4.2</v>
      </c>
      <c r="L15" s="50">
        <f>I15*0.33*0.0001</f>
        <v>35.0625</v>
      </c>
      <c r="M15" s="60">
        <f>(J15+K15+L15)*10000</f>
        <v>410062.5</v>
      </c>
      <c r="N15" s="52">
        <v>25302710729.7743</v>
      </c>
      <c r="O15" s="53">
        <f>M15/(N15)</f>
        <v>1.62062675568381e-5</v>
      </c>
      <c r="P15" s="53">
        <f t="shared" si="7"/>
        <v>0.045662100456621</v>
      </c>
      <c r="Q15" s="54">
        <f>O15/P15</f>
        <v>0.000354917259494754</v>
      </c>
      <c r="R15" s="61">
        <v>30363252875.7292</v>
      </c>
      <c r="S15" s="50">
        <f>M15/R15*1000000</f>
        <v>13.5052229640317</v>
      </c>
      <c r="T15" s="53">
        <f>(250*1/3*0.2)/365</f>
        <v>0.045662100456621</v>
      </c>
      <c r="U15" s="50">
        <f>S15/T15/1000000</f>
        <v>0.000295764382912295</v>
      </c>
      <c r="V15" s="50">
        <f>U15*1.3</f>
        <v>0.000384493697785983</v>
      </c>
      <c r="W15" s="50">
        <f>V15*1.5</f>
        <v>0.000576740546678975</v>
      </c>
    </row>
    <row r="16" ht="121.25" customHeight="1" spans="2:24">
      <c r="H16"/>
      <c r="I16"/>
      <c r="J16"/>
      <c r="K16"/>
    </row>
    <row r="17" customHeight="1" spans="10:10">
      <c r="J17" s="62"/>
    </row>
  </sheetData>
  <mergeCells count="6">
    <mergeCell ref="B1:D1"/>
    <mergeCell ref="E1:G1"/>
    <mergeCell ref="H1:M1"/>
    <mergeCell ref="N1:Q1"/>
    <mergeCell ref="V1:W1"/>
    <mergeCell ref="X1:X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3" sqref="I23"/>
    </sheetView>
  </sheetViews>
  <sheetFormatPr defaultColWidth="8.88888888888889" defaultRowHeight="16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6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3782827623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1"/>
  <pixelatorList sheetStid="2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Token业务全景图</vt:lpstr>
      <vt:lpstr>资源测算模型</vt:lpstr>
      <vt:lpstr>成本&amp;定价评估模型</vt:lpstr>
      <vt:lpstr>【附件-指标描述和定义】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mrzhang</dc:creator>
  <cp:lastModifiedBy>张晓辉</cp:lastModifiedBy>
  <dcterms:created xsi:type="dcterms:W3CDTF">2026-07-03T03:58:16Z</dcterms:created>
  <dcterms:modified xsi:type="dcterms:W3CDTF">2026-07-02T22:22:55Z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542E5D9D3F132FEDD83E436AE92EA631_41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0</vt:i4>
  </property>
</Properties>
</file>