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X47" i="10"/>
  <c r="X50" i="10" s="1"/>
  <c r="P47" i="10"/>
  <c r="AB46" i="10"/>
  <c r="X46" i="10"/>
  <c r="P46" i="10"/>
  <c r="AB45" i="10"/>
  <c r="AA45" i="10"/>
  <c r="AB38" i="10" s="1"/>
  <c r="Z45" i="10"/>
  <c r="Y45" i="10"/>
  <c r="X45" i="10"/>
  <c r="W45" i="10"/>
  <c r="V45" i="10"/>
  <c r="U45" i="10"/>
  <c r="T45" i="10"/>
  <c r="T46" i="10" s="1"/>
  <c r="S45" i="10"/>
  <c r="R45" i="10"/>
  <c r="Q45" i="10"/>
  <c r="P44" i="10"/>
  <c r="O44" i="10"/>
  <c r="N44" i="10"/>
  <c r="M44" i="10"/>
  <c r="AB41" i="10"/>
  <c r="X41" i="10"/>
  <c r="T41" i="10"/>
  <c r="P41" i="10"/>
  <c r="AB40" i="10"/>
  <c r="X40" i="10"/>
  <c r="T40" i="10"/>
  <c r="P40" i="10"/>
  <c r="K40" i="10"/>
  <c r="F40" i="10"/>
  <c r="X38" i="10"/>
  <c r="P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V13" i="10" s="1"/>
  <c r="W15" i="10"/>
  <c r="T15" i="10"/>
  <c r="S15" i="10"/>
  <c r="P15" i="10"/>
  <c r="O15" i="10"/>
  <c r="L15" i="10"/>
  <c r="AA13" i="10"/>
  <c r="Z13" i="10"/>
  <c r="Y13" i="10"/>
  <c r="W13" i="10"/>
  <c r="U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C55" i="18"/>
  <c r="AC22" i="4" s="1"/>
  <c r="AB55" i="18"/>
  <c r="AA55" i="18"/>
  <c r="AA22" i="4" s="1"/>
  <c r="Z55" i="18"/>
  <c r="Y55" i="18"/>
  <c r="Y22" i="4" s="1"/>
  <c r="X55" i="18"/>
  <c r="W55" i="18"/>
  <c r="W22" i="4" s="1"/>
  <c r="V55" i="18"/>
  <c r="U55" i="18"/>
  <c r="T55" i="18"/>
  <c r="S55" i="18"/>
  <c r="S22" i="4" s="1"/>
  <c r="R55" i="18"/>
  <c r="R22" i="4" s="1"/>
  <c r="Q55" i="18"/>
  <c r="Q22" i="4" s="1"/>
  <c r="P55" i="18"/>
  <c r="P22" i="4" s="1"/>
  <c r="O55" i="18"/>
  <c r="O22" i="4" s="1"/>
  <c r="N55" i="18"/>
  <c r="M55" i="18"/>
  <c r="M22" i="4" s="1"/>
  <c r="L55" i="18"/>
  <c r="L22" i="4" s="1"/>
  <c r="K55" i="18"/>
  <c r="K22" i="4" s="1"/>
  <c r="J55" i="18"/>
  <c r="I55" i="18"/>
  <c r="I22" i="4" s="1"/>
  <c r="H55" i="18"/>
  <c r="G55" i="18"/>
  <c r="F55" i="18"/>
  <c r="E55" i="18"/>
  <c r="E22" i="4" s="1"/>
  <c r="D55" i="18"/>
  <c r="AU54" i="18"/>
  <c r="AU12" i="4" s="1"/>
  <c r="AT54" i="18"/>
  <c r="AT12" i="4" s="1"/>
  <c r="AS54" i="18"/>
  <c r="AC54" i="18"/>
  <c r="AB54" i="18"/>
  <c r="AA54" i="18"/>
  <c r="AA12" i="4" s="1"/>
  <c r="Z54" i="18"/>
  <c r="Z12" i="4" s="1"/>
  <c r="Y54" i="18"/>
  <c r="X54" i="18"/>
  <c r="X12" i="4" s="1"/>
  <c r="W54" i="18"/>
  <c r="V54" i="18"/>
  <c r="U54" i="18"/>
  <c r="T54" i="18"/>
  <c r="S54" i="18"/>
  <c r="R54" i="18"/>
  <c r="Q54" i="18"/>
  <c r="P54" i="18"/>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B22" i="4"/>
  <c r="Z22" i="4"/>
  <c r="X22" i="4"/>
  <c r="V22" i="4"/>
  <c r="U22" i="4"/>
  <c r="T22" i="4"/>
  <c r="N22" i="4"/>
  <c r="J22" i="4"/>
  <c r="H22" i="4"/>
  <c r="G22" i="4"/>
  <c r="F22" i="4"/>
  <c r="D22" i="4"/>
  <c r="AS12" i="4"/>
  <c r="AC12" i="4"/>
  <c r="AB12" i="4"/>
  <c r="Y12" i="4"/>
  <c r="W12" i="4"/>
  <c r="V12" i="4"/>
  <c r="U12" i="4"/>
  <c r="T12" i="4"/>
  <c r="S12" i="4"/>
  <c r="R12" i="4"/>
  <c r="Q12" i="4"/>
  <c r="P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15" i="10" s="1"/>
  <c r="J5" i="4"/>
  <c r="I5" i="4"/>
  <c r="G15" i="10" s="1"/>
  <c r="H5" i="4"/>
  <c r="E7" i="10" s="1"/>
  <c r="G5" i="4"/>
  <c r="F5" i="4"/>
  <c r="E5" i="4"/>
  <c r="E15" i="10" s="1"/>
  <c r="D5" i="4"/>
  <c r="K15" i="10" l="1"/>
  <c r="F7" i="10"/>
  <c r="C17" i="10"/>
  <c r="C44" i="10" s="1"/>
  <c r="C12" i="10"/>
  <c r="F15" i="10"/>
  <c r="F17" i="10" s="1"/>
  <c r="E17" i="10"/>
  <c r="J7" i="10"/>
  <c r="G7" i="10"/>
  <c r="G29" i="10" s="1"/>
  <c r="G25" i="10"/>
  <c r="G28" i="10"/>
  <c r="G20" i="10"/>
  <c r="T47" i="10"/>
  <c r="T50" i="10" s="1"/>
  <c r="T38" i="10"/>
  <c r="L23" i="10"/>
  <c r="L27" i="10" s="1"/>
  <c r="L31" i="10" s="1"/>
  <c r="L32" i="10" s="1"/>
  <c r="L33" i="10" s="1"/>
  <c r="X13" i="10"/>
  <c r="T13" i="10"/>
  <c r="E12" i="10"/>
  <c r="R13" i="10"/>
  <c r="S13" i="10"/>
  <c r="K7" i="10" l="1"/>
  <c r="J37" i="10"/>
  <c r="H17" i="10"/>
  <c r="H12" i="10"/>
  <c r="I17" i="10"/>
  <c r="I44" i="10" s="1"/>
  <c r="I12" i="10"/>
  <c r="G21" i="10"/>
  <c r="J12" i="10"/>
  <c r="E37" i="10"/>
  <c r="G19" i="10"/>
  <c r="D12" i="10"/>
  <c r="J17" i="10"/>
  <c r="D17" i="10"/>
  <c r="K17" i="10"/>
  <c r="L26" i="10"/>
  <c r="L30" i="10" s="1"/>
  <c r="G24" i="10"/>
  <c r="G23" i="10" s="1"/>
  <c r="G27" i="10" s="1"/>
  <c r="H44" i="10" l="1"/>
  <c r="K12" i="10"/>
  <c r="J44" i="10"/>
  <c r="K37" i="10"/>
  <c r="D44" i="10"/>
  <c r="F12" i="10"/>
  <c r="E44" i="10"/>
  <c r="F37" i="10"/>
  <c r="G31" i="10"/>
  <c r="G32" i="10" s="1"/>
  <c r="G33" i="10" s="1"/>
  <c r="G26" i="10"/>
  <c r="G30" i="10" s="1"/>
  <c r="F44" i="10" l="1"/>
  <c r="F51" i="10"/>
  <c r="F41" i="10"/>
  <c r="F52" i="10"/>
  <c r="C11" i="16" s="1"/>
  <c r="K51" i="10"/>
  <c r="K44" i="10"/>
  <c r="K41" i="10"/>
  <c r="K52" i="10"/>
  <c r="D11" i="16" s="1"/>
  <c r="K38" i="10"/>
  <c r="F38" i="10"/>
  <c r="K47" i="10" l="1"/>
  <c r="K50" i="10" s="1"/>
  <c r="K46" i="10"/>
  <c r="F47" i="10"/>
  <c r="F50" i="10" s="1"/>
  <c r="F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<sst xmlns="http://schemas.openxmlformats.org/spreadsheetml/2006/main" count="566" uniqueCount="505">
  <si>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</si>
  <si>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</si>
  <si>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</si>
  <si>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</si>
  <si>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</si>
  <si>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</si>
  <si>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</si>
  <si>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</si>
  <si>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</si>
  <si>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</si>
  <si>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</si>
  <si>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</si>
  <si>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</si>
  <si>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</si>
  <si>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</si>
  <si>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</si>
  <si>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</si>
  <si>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</si>
  <si>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</si>
  <si>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</si>
  <si>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</si>
  <si>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</si>
  <si>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</si>
  <si>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</si>
  <si>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</si>
  <si>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</si>
  <si>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</si>
  <si>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</si>
  <si>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</si>
  <si>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</si>
  <si>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</si>
  <si>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</si>
  <si>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</si>
  <si>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</si>
  <si>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</si>
  <si>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</si>
  <si>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</si>
  <si>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</si>
  <si>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</si>
  <si>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</si>
  <si>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</si>
  <si>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</si>
  <si>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</si>
  <si>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</si>
  <si>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</si>
  <si>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</si>
  <si>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</si>
  <si>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</si>
  <si>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</si>
  <si>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</si>
  <si>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</si>
  <si>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</si>
  <si>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</si>
  <si>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</si>
  <si>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</si>
  <si>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</si>
  <si>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</si>
  <si>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</si>
  <si>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</si>
  <si>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</si>
  <si>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</si>
  <si>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</si>
  <si>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</si>
  <si>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</si>
  <si>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</si>
  <si>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</si>
  <si>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</si>
  <si>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</si>
  <si>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</si>
  <si>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</si>
  <si>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</si>
  <si>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</si>
  <si>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</si>
  <si>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</si>
  <si>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</si>
  <si>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</si>
  <si>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</si>
  <si>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</si>
  <si>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</si>
  <si>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</si>
  <si>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</si>
  <si>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</si>
  <si>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</si>
  <si>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</si>
  <si>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</si>
  <si>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</si>
  <si>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</si>
  <si>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</si>
  <si>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</si>
  <si>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</si>
  <si>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</si>
  <si>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</si>
  <si>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</si>
  <si>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</si>
  <si>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</si>
  <si>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</si>
  <si>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</si>
  <si>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</si>
  <si>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</si>
  <si>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</si>
  <si>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</si>
  <si>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</si>
  <si>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</si>
  <si>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</si>
  <si>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</si>
  <si>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</si>
  <si>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</si>
  <si>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</si>
  <si>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</si>
  <si>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</si>
  <si>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</si>
  <si>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</si>
  <si>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</si>
  <si>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</si>
  <si>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</si>
  <si>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</si>
  <si>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</si>
  <si>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</si>
  <si>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</si>
  <si>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</si>
  <si>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</si>
  <si>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</si>
  <si>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</si>
  <si>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</si>
  <si>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</si>
  <si>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</si>
  <si>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</si>
  <si>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</si>
  <si>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</si>
  <si>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</si>
  <si>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</si>
  <si>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</si>
  <si>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</si>
  <si>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</si>
  <si>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</si>
  <si>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</si>
  <si>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</si>
  <si>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</si>
  <si>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</si>
  <si>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</si>
  <si>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</si>
  <si>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</si>
  <si>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</si>
  <si>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</si>
  <si>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</si>
  <si>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</si>
  <si>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</si>
  <si>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</si>
  <si>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</si>
  <si>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</si>
  <si>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</si>
  <si>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</si>
  <si>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</si>
  <si>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</si>
  <si>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</si>
  <si>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</si>
  <si>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</si>
  <si>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</si>
  <si>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</si>
  <si>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</si>
  <si>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</si>
  <si>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</si>
  <si>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</si>
  <si>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</si>
  <si>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</si>
  <si>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</si>
  <si>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</si>
  <si>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</si>
  <si>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</si>
  <si>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</si>
  <si>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</si>
  <si>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</si>
  <si>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</si>
  <si>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</si>
  <si>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</si>
  <si>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</si>
  <si>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</si>
  <si>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</si>
  <si>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</si>
  <si>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</si>
  <si>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</si>
  <si>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</si>
  <si>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</si>
  <si>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</si>
  <si>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</si>
  <si>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</si>
  <si>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</si>
  <si>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</si>
  <si>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</si>
  <si>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</si>
  <si>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</si>
  <si>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</si>
  <si>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</si>
  <si>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</si>
  <si>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</si>
  <si>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</si>
  <si>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</si>
  <si>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</si>
  <si>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</si>
  <si>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</si>
  <si>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</si>
  <si>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</si>
  <si>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</si>
  <si>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</si>
  <si>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</si>
  <si>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</si>
  <si>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</si>
  <si>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</si>
  <si>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</si>
  <si>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</si>
  <si>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</si>
  <si>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</si>
  <si>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</si>
  <si>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</si>
  <si>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</si>
  <si>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</si>
  <si>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</si>
  <si>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</si>
  <si>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</si>
  <si>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</si>
  <si>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</si>
  <si>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</si>
  <si>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</si>
  <si>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</si>
  <si>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</si>
  <si>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</si>
  <si>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</si>
  <si>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</si>
  <si>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</si>
  <si>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</si>
  <si>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</si>
  <si>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</si>
  <si>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</si>
  <si>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</si>
  <si>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</si>
  <si>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</si>
  <si>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</si>
  <si>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</si>
  <si>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</si>
  <si>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</si>
  <si>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</si>
  <si>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</si>
  <si>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</si>
  <si>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</si>
  <si>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</si>
  <si>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</si>
  <si>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</si>
  <si>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</si>
  <si>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</si>
  <si>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</si>
  <si>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</si>
  <si>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</si>
  <si>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</si>
  <si>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</si>
  <si>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</si>
  <si>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</si>
  <si>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</si>
  <si>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</si>
  <si>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</si>
  <si>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</si>
  <si>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</si>
  <si>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</si>
  <si>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</si>
  <si>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</si>
  <si>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</si>
  <si>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</si>
  <si>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</si>
  <si>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</si>
  <si>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</si>
  <si>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</si>
  <si>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</si>
  <si>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</si>
  <si>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</si>
  <si>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</si>
  <si>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</si>
  <si>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</si>
  <si>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</si>
  <si>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</si>
  <si>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</si>
  <si>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</si>
  <si>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</si>
  <si>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</si>
  <si>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</si>
  <si>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</si>
  <si>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</si>
  <si>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</si>
  <si>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</si>
  <si>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</si>
  <si>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</si>
  <si>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</si>
  <si>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</si>
  <si>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</si>
  <si>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</si>
  <si>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</si>
  <si>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</si>
  <si>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</si>
  <si>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</si>
  <si>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</si>
  <si>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</si>
  <si>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</si>
  <si>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</si>
  <si>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</si>
  <si>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</si>
  <si>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</si>
  <si>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</si>
  <si>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</si>
  <si>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</si>
  <si>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</si>
  <si>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</si>
  <si>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</si>
  <si>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</si>
  <si>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</si>
  <si>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</si>
  <si>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</si>
  <si>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</si>
  <si>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</si>
  <si>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</si>
  <si>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</si>
  <si>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</si>
  <si>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</si>
  <si>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</si>
  <si>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</si>
  <si>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</si>
  <si>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</si>
  <si>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</si>
  <si>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</si>
  <si>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</si>
  <si>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</si>
  <si>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</si>
  <si>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</si>
  <si>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</si>
  <si>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</si>
  <si>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</si>
  <si>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</si>
  <si>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</si>
  <si>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</si>
  <si>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</si>
  <si>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</si>
  <si>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</si>
  <si>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</si>
  <si>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</si>
  <si>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</si>
  <si>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</si>
  <si>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</si>
  <si>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</si>
  <si>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</si>
  <si>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</si>
  <si>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</si>
  <si>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</si>
  <si>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</si>
  <si>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</si>
  <si>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</si>
  <si>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</si>
  <si>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</si>
  <si>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</si>
  <si>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</si>
  <si>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</si>
  <si>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</si>
  <si>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</si>
  <si>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</si>
  <si>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</si>
  <si>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</si>
  <si>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</si>
  <si>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</si>
  <si>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</si>
  <si>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</si>
  <si>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</si>
  <si>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</si>
  <si>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</si>
  <si>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</si>
  <si>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</si>
  <si>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</si>
  <si>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</si>
  <si>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</si>
  <si>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</si>
  <si>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</si>
  <si>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</si>
  <si>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</si>
  <si>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</si>
  <si>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</si>
  <si>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</si>
  <si>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</si>
  <si>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</si>
  <si>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</si>
  <si>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</si>
  <si>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</si>
  <si>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</si>
  <si>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</si>
  <si>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</si>
  <si>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</si>
  <si>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</si>
  <si>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</si>
  <si>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</si>
  <si>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</si>
  <si>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</si>
  <si>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</si>
  <si>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</si>
  <si>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</si>
  <si>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</si>
  <si>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</si>
  <si>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</si>
  <si>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</si>
  <si>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</si>
  <si>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</si>
  <si>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</si>
  <si>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</si>
  <si>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</si>
  <si>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</si>
  <si>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</si>
  <si>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</si>
  <si>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</si>
  <si>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</si>
  <si>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</si>
  <si>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</si>
  <si>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</si>
  <si>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</si>
  <si>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</si>
  <si>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</si>
  <si>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</si>
  <si>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</si>
  <si>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</si>
  <si>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</si>
  <si>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</si>
  <si>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</si>
  <si>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</si>
  <si>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</si>
  <si>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</si>
  <si>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</si>
  <si>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</si>
  <si>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</si>
  <si>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</si>
  <si>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</si>
  <si>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</si>
  <si>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</si>
  <si>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</si>
  <si>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</si>
  <si>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</si>
  <si>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</si>
  <si>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</si>
  <si>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</si>
  <si>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</si>
  <si>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</si>
  <si>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</si>
  <si>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</si>
  <si>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</si>
  <si>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</si>
  <si>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</si>
  <si>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</si>
  <si>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</si>
  <si>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</si>
  <si>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</si>
  <si>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</si>
  <si>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</si>
  <si>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</si>
  <si>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</si>
  <si>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</si>
  <si>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</si>
  <si>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</si>
  <si>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</si>
  <si>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</si>
  <si>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</si>
  <si>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</si>
  <si>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</si>
  <si>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</si>
  <si>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</si>
  <si>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</si>
  <si>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</si>
  <si>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</si>
  <si>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</si>
  <si>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</si>
  <si>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</si>
  <si>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</si>
  <si>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</si>
  <si>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</si>
  <si>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</si>
  <si>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</si>
  <si>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</si>
  <si>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</si>
  <si>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</si>
  <si>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</si>
  <si>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</si>
  <si>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</si>
  <si>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</si>
  <si>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</si>
  <si>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</si>
  <si>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</si>
  <si>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</si>
  <si>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</si>
  <si>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</si>
  <si>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</si>
  <si>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</si>
  <si>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</si>
  <si>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</si>
  <si>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</si>
  <si>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Emphesys Insurance Company</t>
  </si>
  <si>
    <t>HUMANA GRP</t>
  </si>
  <si>
    <t>Humana</t>
  </si>
  <si>
    <t>119</t>
  </si>
  <si>
    <t>2014</t>
  </si>
  <si>
    <t>1221 S. Mo Pac Expy, Suite 200 Austin, TX 78746-7625</t>
  </si>
  <si>
    <t>310935772</t>
  </si>
  <si>
    <t>088595</t>
  </si>
  <si>
    <t>88595</t>
  </si>
  <si>
    <t>55221</t>
  </si>
  <si>
    <t>136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</si>
</sst>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138</v>
      </c>
    </row>
    <row r="13" spans="1:6" x14ac:dyDescent="0.2">
      <c r="B13" s="232" t="s">
        <v>50</v>
      </c>
      <c r="C13" s="378" t="s">
        <v>186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J14" sqref="J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23594</v>
      </c>
      <c r="K5" s="106">
        <f>SUM('Pt 2 Premium and Claims'!K$5,'Pt 2 Premium and Claims'!K$6,-'Pt 2 Premium and Claims'!K$7,-'Pt 2 Premium and Claims'!K$13,'Pt 2 Premium and Claims'!K$14,'Pt 2 Premium and Claims'!K$16:'Pt 2 Premium and Claims'!K$17)</f>
        <v>23593.51</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0</v>
      </c>
      <c r="AT5" s="107">
        <f>SUM('Pt 2 Premium and Claims'!AT$5,'Pt 2 Premium and Claims'!AT$6,-'Pt 2 Premium and Claims'!AT$7,-'Pt 2 Premium and Claims'!AT$13,'Pt 2 Premium and Claims'!AT$14)</f>
        <v>0</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-85</v>
      </c>
      <c r="K7" s="110">
        <v>-85</v>
      </c>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8.8699999999999974</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51</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-2525.4299999995906</v>
      </c>
      <c r="K12" s="106">
        <f>'Pt 2 Premium and Claims'!K$54</f>
        <v>1988.0379999999998</v>
      </c>
      <c r="L12" s="106">
        <f>'Pt 2 Premium and Claims'!L$54</f>
        <v>0</v>
      </c>
      <c r="M12" s="106">
        <f>'Pt 2 Premium and Claims'!M$54</f>
        <v>0</v>
      </c>
      <c r="N12" s="106">
        <f>'Pt 2 Premium and Claims'!N$54</f>
        <v>0</v>
      </c>
      <c r="O12" s="105">
        <f>'Pt 2 Premium and Claims'!O$54</f>
        <v>0</v>
      </c>
      <c r="P12" s="105">
        <f>'Pt 2 Premium and Claims'!P$54</f>
        <v>-65.460000000000434</v>
      </c>
      <c r="Q12" s="106">
        <f>'Pt 2 Premium and Claims'!Q$54</f>
        <v>-0.86999999999999988</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0</v>
      </c>
      <c r="AT12" s="107">
        <f>'Pt 2 Premium and Claims'!AT$54</f>
        <v>0</v>
      </c>
      <c r="AU12" s="107">
        <f>'Pt 2 Premium and Claims'!AU$54</f>
        <v>0</v>
      </c>
      <c r="AV12" s="312"/>
      <c r="AW12" s="317"/>
    </row>
    <row r="13" spans="1:49" ht="25.5" x14ac:dyDescent="0.2">
      <c r="B13" s="155" t="s">
        <v>230</v>
      </c>
      <c r="C13" s="62" t="s">
        <v>37</v>
      </c>
      <c r="D13" s="109"/>
      <c r="E13" s="110"/>
      <c r="F13" s="110"/>
      <c r="G13" s="289"/>
      <c r="H13" s="290"/>
      <c r="I13" s="109"/>
      <c r="J13" s="109">
        <v>3126.0699999999997</v>
      </c>
      <c r="K13" s="110">
        <v>1.24</v>
      </c>
      <c r="L13" s="110"/>
      <c r="M13" s="289"/>
      <c r="N13" s="290"/>
      <c r="O13" s="109"/>
      <c r="P13" s="109">
        <v>-0.3</v>
      </c>
      <c r="Q13" s="110">
        <v>-0.3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-481</v>
      </c>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v>1053.92</v>
      </c>
      <c r="K15" s="110">
        <v>1053.92</v>
      </c>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-620000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4.71</v>
      </c>
      <c r="K26" s="110">
        <v>8.65</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388.59999999999997</v>
      </c>
      <c r="K27" s="110">
        <v>292.82</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761.1</v>
      </c>
      <c r="K28" s="110">
        <v>36.42</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10770.269999999999</v>
      </c>
      <c r="K30" s="110">
        <v>2417.33</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-49.96999999999997</v>
      </c>
      <c r="K31" s="110">
        <v>412.68</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v>251.38</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29434.41</v>
      </c>
      <c r="K35" s="110">
        <v>29434.41</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173.54999999999995</v>
      </c>
      <c r="K37" s="118">
        <v>47.51</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59.86999999999999</v>
      </c>
      <c r="K38" s="110">
        <v>24.41</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1311.51</v>
      </c>
      <c r="K39" s="110">
        <v>1244.78</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529.75</v>
      </c>
      <c r="K40" s="110">
        <v>212.75</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40.960000000000008</v>
      </c>
      <c r="K41" s="110">
        <v>9.39</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v>6.7500000000000009</v>
      </c>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2626.3699999999913</v>
      </c>
      <c r="K44" s="118">
        <v>2626.3699999999913</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378.21</v>
      </c>
      <c r="K45" s="110">
        <v>378.21</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130.38</v>
      </c>
      <c r="K46" s="110">
        <v>130.38</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2015.18</v>
      </c>
      <c r="K47" s="110">
        <v>2015.18</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4852.68</v>
      </c>
      <c r="K49" s="110">
        <v>4630</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v>-79.72999999999999</v>
      </c>
      <c r="K50" s="110">
        <v>0.55000000000000004</v>
      </c>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10624.46</v>
      </c>
      <c r="K51" s="110">
        <v>10624.46</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6.7500000000000009</v>
      </c>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-3</v>
      </c>
      <c r="K56" s="122">
        <v>2</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-9</v>
      </c>
      <c r="K57" s="125">
        <v>4</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93</v>
      </c>
      <c r="K59" s="125">
        <v>48</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7.75</v>
      </c>
      <c r="K60" s="128">
        <f t="shared" si="0"/>
        <v>4</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0</v>
      </c>
      <c r="AT60" s="129">
        <f>AT$59/12</f>
        <v>0</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K54" sqref="K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23594</v>
      </c>
      <c r="K5" s="118">
        <v>23593.51</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-2372.6899999998313</v>
      </c>
      <c r="K23" s="288"/>
      <c r="L23" s="288"/>
      <c r="M23" s="288"/>
      <c r="N23" s="288"/>
      <c r="O23" s="292"/>
      <c r="P23" s="109">
        <v>287.57000000024243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1666.3899999999999</v>
      </c>
      <c r="L24" s="110"/>
      <c r="M24" s="110"/>
      <c r="N24" s="110"/>
      <c r="O24" s="109"/>
      <c r="P24" s="293"/>
      <c r="Q24" s="110">
        <v>-0.56999999999999995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-1.0199999997596478</v>
      </c>
      <c r="K26" s="288"/>
      <c r="L26" s="288"/>
      <c r="M26" s="288"/>
      <c r="N26" s="288"/>
      <c r="O26" s="292"/>
      <c r="P26" s="109">
        <v>1.0299999997571831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321.64799999999997</v>
      </c>
      <c r="L27" s="110"/>
      <c r="M27" s="110"/>
      <c r="N27" s="110"/>
      <c r="O27" s="109"/>
      <c r="P27" s="293"/>
      <c r="Q27" s="110">
        <v>-0.3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-352.28000000000009</v>
      </c>
      <c r="K49" s="110"/>
      <c r="L49" s="110"/>
      <c r="M49" s="110"/>
      <c r="N49" s="110"/>
      <c r="O49" s="109"/>
      <c r="P49" s="109">
        <v>354.06000000000006</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51</v>
      </c>
      <c r="E50" s="289"/>
      <c r="F50" s="289"/>
      <c r="G50" s="289"/>
      <c r="H50" s="289"/>
      <c r="I50" s="293"/>
      <c r="J50" s="109">
        <v>-504</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51</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-2525.4299999995906</v>
      </c>
      <c r="K54" s="115">
        <f>K24+K27+K31+K35-K36+K39+K42+K45+K46-K49+K51+K52+K53</f>
        <v>1988.0379999999998</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-65.460000000000434</v>
      </c>
      <c r="Q54" s="115">
        <f>Q24+Q27+Q31+Q35-Q36+Q39+Q42+Q45+Q46-Q49+Q51+Q52+Q53</f>
        <v>-0.86999999999999988</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0</v>
      </c>
      <c r="AT54" s="116">
        <f>AT23+AT26-AT28+AT30-AT32+AT34-AT36+AT38+AT41-AT43+AT45+AT46-AT47-AT49+AT50+AT51+AT52+AT53</f>
        <v>0</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149978.51999999999</v>
      </c>
      <c r="I5" s="118">
        <v>7429.8644999999997</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v>149969.73000000001</v>
      </c>
      <c r="I6" s="110">
        <v>7131.9960000000001</v>
      </c>
      <c r="J6" s="115">
        <f>SUM('Pt 1 Summary of Data'!K$12,'Pt 1 Summary of Data'!K$22)+SUM('Pt 1 Summary of Data'!M$12,'Pt 1 Summary of Data'!M$22)-SUM('Pt 1 Summary of Data'!N$12,'Pt 1 Summary of Data'!N$22)</f>
        <v>1988.0379999999998</v>
      </c>
      <c r="K6" s="115">
        <f>SUM(H6:J6)</f>
        <v>159089.76400000002</v>
      </c>
      <c r="L6" s="116">
        <f>SUM('Pt 1 Summary of Data'!O$12,'Pt 1 Summary of Data'!O$22)</f>
        <v>0</v>
      </c>
      <c r="M6" s="109"/>
      <c r="N6" s="110"/>
      <c r="O6" s="115">
        <f>SUM('Pt 1 Summary of Data'!Q$12,'Pt 1 Summary of Data'!Q$22)+SUM('Pt 1 Summary of Data'!S$12,'Pt 1 Summary of Data'!S$22)-SUM('Pt 1 Summary of Data'!T$12,'Pt 1 Summary of Data'!T$22)</f>
        <v>-0.86999999999999988</v>
      </c>
      <c r="P6" s="115">
        <f>SUM(M6:O6)</f>
        <v>-0.86999999999999988</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v>1158.43</v>
      </c>
      <c r="I7" s="110">
        <v>618.47000000000014</v>
      </c>
      <c r="J7" s="115">
        <f>SUM('Pt 1 Summary of Data'!K$37:K$41)+SUM('Pt 1 Summary of Data'!M$37:M$41)-SUM('Pt 1 Summary of Data'!N$37:N$41)+MAX(0,MIN('Pt 1 Summary of Data'!K$42+'Pt 1 Summary of Data'!M$42-'Pt 1 Summary of Data'!N$42,0.3%*('Pt 1 Summary of Data'!K$5+'Pt 1 Summary of Data'!M$5-'Pt 1 Summary of Data'!N$5-SUM(J$10:J$11))))</f>
        <v>1538.8400000000001</v>
      </c>
      <c r="K7" s="115">
        <f>SUM(H7:J7)</f>
        <v>3315.7400000000002</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151128.16</v>
      </c>
      <c r="I12" s="115">
        <f>SUM(I$6:I$7)+IF(AND(OR('Company Information'!$C$12="District of Columbia",'Company Information'!$C$12="Massachusetts",'Company Information'!$C$12="Vermont"),SUM($H$6:$K$11,$H$15:$K$16,$H$37:$I$37)&lt;&gt;0),SUM(D$6:D$7),0)</f>
        <v>7750.4660000000003</v>
      </c>
      <c r="J12" s="115">
        <f>SUM(J$6:J$7)-SUM(J$10:J$11)+IF(AND(OR('Company Information'!$C$12="District of Columbia",'Company Information'!$C$12="Massachusetts",'Company Information'!$C$12="Vermont"),SUM($H$6:$K$11,$H$15:$K$16,$H$37:$I$37)&lt;&gt;0),SUM(E$6:E$7)-SUM(E$8:E$11),0)</f>
        <v>3526.8779999999997</v>
      </c>
      <c r="K12" s="115">
        <f>IFERROR(SUM(H$12:J$12)+H$17*MAX(0,J$49-H$49)+I$17*MAX(0,J$49-I$49),0)</f>
        <v>162405.50399999999</v>
      </c>
      <c r="L12" s="311"/>
      <c r="M12" s="114">
        <f>SUM(M$6:M$7)</f>
        <v>0</v>
      </c>
      <c r="N12" s="115">
        <f>SUM(N$6:N$7)</f>
        <v>0</v>
      </c>
      <c r="O12" s="115">
        <f>SUM(O$6:O$7)</f>
        <v>-0.86999999999999988</v>
      </c>
      <c r="P12" s="115">
        <f>SUM(M$12:O$12)+M$17*MAX(0,O$49-M$49)+N$17*MAX(0,O$49-N$49)</f>
        <v>-0.86999999999999988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v>88393.05</v>
      </c>
      <c r="I15" s="118">
        <v>49268.161970000001</v>
      </c>
      <c r="J15" s="106">
        <f>SUM('Pt 1 Summary of Data'!K$5:K$7)+SUM('Pt 1 Summary of Data'!M$5:M$7)-SUM('Pt 1 Summary of Data'!N$5:N$7)-SUM(J$10:J$11)+I$55</f>
        <v>23657.898029999997</v>
      </c>
      <c r="K15" s="106">
        <f>SUM(H15:J15)</f>
        <v>161319.10999999999</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v>63211.45</v>
      </c>
      <c r="I16" s="110">
        <v>9331.6200000000008</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32853.689999999995</v>
      </c>
      <c r="K16" s="115">
        <f>SUM(H16:J16)</f>
        <v>105396.75999999998</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25181.600000000006</v>
      </c>
      <c r="I17" s="115">
        <f>I$15-I$16+IF(AND(OR('Company Information'!$C$12="District of Columbia",'Company Information'!$C$12="Massachusetts",'Company Information'!$C$12="Vermont"),SUM($H$6:$K$11,$H$15:$K$16,$H$37:$I$37)&lt;&gt;0),D$15-D$16,0)</f>
        <v>39936.541969999998</v>
      </c>
      <c r="J17" s="115">
        <f>J$15-J$16+IF(AND(OR('Company Information'!$C$12="District of Columbia",'Company Information'!$C$12="Massachusetts",'Company Information'!$C$12="Vermont"),SUM($H$6:$K$11,$H$15:$K$16,$H$37:$I$37)&lt;&gt;0),E$15-E$16,0)</f>
        <v>-9195.7919699999984</v>
      </c>
      <c r="K17" s="115">
        <f>K$15-K$16+IF(AND(OR('Company Information'!$C$12="District of Columbia",'Company Information'!$C$12="Massachusetts",'Company Information'!$C$12="Vermont"),SUM($H$6:$K$11,$H$15:$K$16,$H$37:$I$37)&lt;&gt;0),F$15-F$16,0)</f>
        <v>55922.350000000006</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v>14.5</v>
      </c>
      <c r="I37" s="122">
        <v>8</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4</v>
      </c>
      <c r="K37" s="256">
        <f>SUM(H$37:J$37)+IF(AND(OR('Company Information'!$C$12="District of Columbia",'Company Information'!$C$12="Massachusetts",'Company Information'!$C$12="Vermont"),SUM($H$6:$K$11,$H$15:$K$16,$H$37:$I$37)&lt;&gt;0,SUM(H$37:I$37)&lt;&gt;SUM(C$37:D$37)),SUM(C$37:D$37),0)</f>
        <v>26.5</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2015</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149.38802999999999</v>
      </c>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2</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2015-07-23T02:37:02Z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