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D11" i="16"/>
  <c r="C11" i="16"/>
  <c r="H4" i="16"/>
  <c r="G4" i="16"/>
  <c r="F4" i="16"/>
  <c r="E4" i="16"/>
  <c r="D4" i="16"/>
  <c r="C4" i="16"/>
  <c r="AB52" i="10"/>
  <c r="X52" i="10"/>
  <c r="G11" i="16" s="1"/>
  <c r="T52" i="10"/>
  <c r="F11" i="16" s="1"/>
  <c r="K52" i="10"/>
  <c r="F52" i="10"/>
  <c r="AB51" i="10"/>
  <c r="X51" i="10"/>
  <c r="T51" i="10"/>
  <c r="P51" i="10"/>
  <c r="K51" i="10"/>
  <c r="F51" i="10"/>
  <c r="AB50" i="10"/>
  <c r="K50" i="10"/>
  <c r="F50" i="10"/>
  <c r="AB47" i="10"/>
  <c r="K47" i="10"/>
  <c r="F47" i="10"/>
  <c r="AB46" i="10"/>
  <c r="X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F38" i="10" s="1"/>
  <c r="D44" i="10"/>
  <c r="C44" i="10"/>
  <c r="AB41" i="10"/>
  <c r="X41" i="10"/>
  <c r="T41" i="10"/>
  <c r="K41" i="10"/>
  <c r="F41" i="10"/>
  <c r="AB40" i="10"/>
  <c r="X40" i="10"/>
  <c r="T40" i="10"/>
  <c r="P40" i="10"/>
  <c r="K40" i="10"/>
  <c r="F40" i="10"/>
  <c r="AB38" i="10"/>
  <c r="T38" i="10"/>
  <c r="P38" i="10"/>
  <c r="K38" i="10"/>
  <c r="AB37" i="10"/>
  <c r="AA37" i="10"/>
  <c r="X37" i="10"/>
  <c r="W37" i="10"/>
  <c r="T37" i="10"/>
  <c r="S37" i="10"/>
  <c r="P37" i="10"/>
  <c r="O37" i="10"/>
  <c r="K37" i="10"/>
  <c r="J37" i="10"/>
  <c r="F37" i="10"/>
  <c r="E37" i="10"/>
  <c r="L29" i="10"/>
  <c r="L28" i="10"/>
  <c r="G28" i="10"/>
  <c r="L25" i="10"/>
  <c r="G25" i="10"/>
  <c r="L21" i="10"/>
  <c r="G21" i="10"/>
  <c r="L20" i="10"/>
  <c r="G20" i="10"/>
  <c r="G27" i="10" s="1"/>
  <c r="G31" i="10" s="1"/>
  <c r="G32" i="10" s="1"/>
  <c r="G33" i="10" s="1"/>
  <c r="L19" i="10"/>
  <c r="L24" i="10" s="1"/>
  <c r="L23" i="10" s="1"/>
  <c r="L27" i="10" s="1"/>
  <c r="G19" i="10"/>
  <c r="G24" i="10" s="1"/>
  <c r="G23"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J12" i="10" s="1"/>
  <c r="G16" i="10"/>
  <c r="F16" i="10"/>
  <c r="E16" i="10"/>
  <c r="E12" i="10" s="1"/>
  <c r="AB15" i="10"/>
  <c r="AA15" i="10"/>
  <c r="X15" i="10"/>
  <c r="U13" i="10" s="1"/>
  <c r="W15" i="10"/>
  <c r="T15" i="10"/>
  <c r="S15" i="10"/>
  <c r="P15" i="10"/>
  <c r="O15" i="10"/>
  <c r="L15" i="10"/>
  <c r="K15" i="10"/>
  <c r="J15" i="10"/>
  <c r="G15" i="10"/>
  <c r="F15" i="10"/>
  <c r="E15" i="10"/>
  <c r="D12" i="10" s="1"/>
  <c r="AB13" i="10"/>
  <c r="AA13" i="10"/>
  <c r="Z13" i="10"/>
  <c r="Y13" i="10"/>
  <c r="S13" i="10"/>
  <c r="R13" i="10"/>
  <c r="Q13" i="10"/>
  <c r="P12" i="10"/>
  <c r="O12" i="10"/>
  <c r="N12" i="10"/>
  <c r="M12" i="10"/>
  <c r="H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E7" i="10"/>
  <c r="F7" i="10" s="1"/>
  <c r="AB6" i="10"/>
  <c r="AA6" i="10"/>
  <c r="X6" i="10"/>
  <c r="W6" i="10"/>
  <c r="T6" i="10"/>
  <c r="S6" i="10"/>
  <c r="P6" i="10"/>
  <c r="O6" i="10"/>
  <c r="L6" i="10"/>
  <c r="K6" i="10"/>
  <c r="J6" i="10"/>
  <c r="G6" i="10"/>
  <c r="F6" i="10"/>
  <c r="E6" i="10"/>
  <c r="AU55" i="18"/>
  <c r="AT55" i="18"/>
  <c r="AT22" i="4" s="1"/>
  <c r="AS55" i="18"/>
  <c r="AS22" i="4" s="1"/>
  <c r="AC55" i="18"/>
  <c r="AC22" i="4" s="1"/>
  <c r="AB55" i="18"/>
  <c r="AB22" i="4" s="1"/>
  <c r="AA55" i="18"/>
  <c r="Z55" i="18"/>
  <c r="Z22" i="4" s="1"/>
  <c r="Y55" i="18"/>
  <c r="X55" i="18"/>
  <c r="X22" i="4" s="1"/>
  <c r="W55" i="18"/>
  <c r="V55" i="18"/>
  <c r="V22" i="4" s="1"/>
  <c r="U55" i="18"/>
  <c r="U22" i="4" s="1"/>
  <c r="T55" i="18"/>
  <c r="S55" i="18"/>
  <c r="S22" i="4" s="1"/>
  <c r="R55" i="18"/>
  <c r="Q55" i="18"/>
  <c r="P55" i="18"/>
  <c r="O55" i="18"/>
  <c r="O22" i="4" s="1"/>
  <c r="N55" i="18"/>
  <c r="M55" i="18"/>
  <c r="L55" i="18"/>
  <c r="L22" i="4" s="1"/>
  <c r="K55" i="18"/>
  <c r="J55" i="18"/>
  <c r="J22" i="4" s="1"/>
  <c r="I55" i="18"/>
  <c r="H55" i="18"/>
  <c r="H22" i="4" s="1"/>
  <c r="G55" i="18"/>
  <c r="G22" i="4" s="1"/>
  <c r="F55" i="18"/>
  <c r="F22" i="4" s="1"/>
  <c r="E55" i="18"/>
  <c r="E22" i="4" s="1"/>
  <c r="D55" i="18"/>
  <c r="D22" i="4" s="1"/>
  <c r="AU54" i="18"/>
  <c r="AU12" i="4" s="1"/>
  <c r="AT54" i="18"/>
  <c r="AS54" i="18"/>
  <c r="AC54" i="18"/>
  <c r="AC12" i="4" s="1"/>
  <c r="AB54" i="18"/>
  <c r="AA54" i="18"/>
  <c r="Z54" i="18"/>
  <c r="Z12" i="4" s="1"/>
  <c r="Y54" i="18"/>
  <c r="Y12" i="4" s="1"/>
  <c r="X54" i="18"/>
  <c r="X12" i="4" s="1"/>
  <c r="W54" i="18"/>
  <c r="V54" i="18"/>
  <c r="V12" i="4" s="1"/>
  <c r="U54" i="18"/>
  <c r="T54" i="18"/>
  <c r="T12" i="4" s="1"/>
  <c r="S54" i="18"/>
  <c r="R54" i="18"/>
  <c r="R12" i="4" s="1"/>
  <c r="Q54" i="18"/>
  <c r="P54" i="18"/>
  <c r="P12" i="4" s="1"/>
  <c r="O54" i="18"/>
  <c r="O12" i="4" s="1"/>
  <c r="N54" i="18"/>
  <c r="M54" i="18"/>
  <c r="M12" i="4" s="1"/>
  <c r="L54" i="18"/>
  <c r="K54" i="18"/>
  <c r="K12" i="4" s="1"/>
  <c r="J54" i="18"/>
  <c r="I54" i="18"/>
  <c r="H54" i="18"/>
  <c r="H12" i="4" s="1"/>
  <c r="G54" i="18"/>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A22" i="4"/>
  <c r="Y22" i="4"/>
  <c r="W22" i="4"/>
  <c r="T22" i="4"/>
  <c r="R22" i="4"/>
  <c r="Q22" i="4"/>
  <c r="P22" i="4"/>
  <c r="N22" i="4"/>
  <c r="M22" i="4"/>
  <c r="K22" i="4"/>
  <c r="I22" i="4"/>
  <c r="AT12" i="4"/>
  <c r="AS12" i="4"/>
  <c r="AB12" i="4"/>
  <c r="AA12" i="4"/>
  <c r="W12" i="4"/>
  <c r="U12" i="4"/>
  <c r="S12" i="4"/>
  <c r="Q12" i="4"/>
  <c r="N12" i="4"/>
  <c r="L12" i="4"/>
  <c r="J12" i="4"/>
  <c r="I12" i="4"/>
  <c r="G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X38" i="10"/>
  <c r="T46" i="10"/>
  <c r="P41" i="10"/>
  <c r="P46" i="10" s="1"/>
  <c r="P47" i="10" s="1"/>
  <c r="P50" i="10" s="1"/>
  <c r="P52" i="10" s="1"/>
  <c r="E11" i="16" s="1"/>
  <c r="G26" i="10"/>
  <c r="G30" i="10" s="1"/>
  <c r="X13" i="10"/>
  <c r="T13" i="10"/>
  <c r="I12" i="10"/>
  <c r="K12" i="10" s="1"/>
  <c r="C12" i="10"/>
  <c r="F12" i="10" s="1"/>
  <c r="V13" i="10"/>
  <c r="W13"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<sst xmlns="http://schemas.openxmlformats.org/spreadsheetml/2006/main" count="566" uniqueCount="505">
  <si>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</si>
  <si>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</si>
  <si>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</si>
  <si>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</si>
  <si>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</si>
  <si>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</si>
  <si>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</si>
  <si>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</si>
  <si>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</si>
  <si>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</si>
  <si>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</si>
  <si>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</si>
  <si>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</si>
  <si>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</si>
  <si>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</si>
  <si>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</si>
  <si>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</si>
  <si>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</si>
  <si>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</si>
  <si>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</si>
  <si>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</si>
  <si>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</si>
  <si>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</si>
  <si>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</si>
  <si>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</si>
  <si>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</si>
  <si>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</si>
  <si>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</si>
  <si>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</si>
  <si>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</si>
  <si>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</si>
  <si>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</si>
  <si>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</si>
  <si>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</si>
  <si>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</si>
  <si>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</si>
  <si>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</si>
  <si>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</si>
  <si>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</si>
  <si>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</si>
  <si>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</si>
  <si>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</si>
  <si>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</si>
  <si>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</si>
  <si>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</si>
  <si>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</si>
  <si>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</si>
  <si>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</si>
  <si>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</si>
  <si>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</si>
  <si>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</si>
  <si>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</si>
  <si>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</si>
  <si>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</si>
  <si>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</si>
  <si>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</si>
  <si>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</si>
  <si>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</si>
  <si>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</si>
  <si>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</si>
  <si>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</si>
  <si>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</si>
  <si>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</si>
  <si>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</si>
  <si>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</si>
  <si>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</si>
  <si>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</si>
  <si>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</si>
  <si>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</si>
  <si>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</si>
  <si>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</si>
  <si>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</si>
  <si>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</si>
  <si>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</si>
  <si>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</si>
  <si>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</si>
  <si>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</si>
  <si>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</si>
  <si>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</si>
  <si>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</si>
  <si>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</si>
  <si>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</si>
  <si>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</si>
  <si>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</si>
  <si>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</si>
  <si>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</si>
  <si>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</si>
  <si>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</si>
  <si>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</si>
  <si>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</si>
  <si>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</si>
  <si>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</si>
  <si>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</si>
  <si>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</si>
  <si>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</si>
  <si>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</si>
  <si>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</si>
  <si>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</si>
  <si>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</si>
  <si>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</si>
  <si>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</si>
  <si>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</si>
  <si>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</si>
  <si>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</si>
  <si>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</si>
  <si>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</si>
  <si>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</si>
  <si>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</si>
  <si>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</si>
  <si>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</si>
  <si>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</si>
  <si>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</si>
  <si>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</si>
  <si>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</si>
  <si>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</si>
  <si>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</si>
  <si>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</si>
  <si>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</si>
  <si>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</si>
  <si>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</si>
  <si>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</si>
  <si>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</si>
  <si>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</si>
  <si>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</si>
  <si>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</si>
  <si>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</si>
  <si>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</si>
  <si>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</si>
  <si>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</si>
  <si>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</si>
  <si>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</si>
  <si>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</si>
  <si>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</si>
  <si>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</si>
  <si>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</si>
  <si>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</si>
  <si>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</si>
  <si>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</si>
  <si>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</si>
  <si>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</si>
  <si>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</si>
  <si>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</si>
  <si>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</si>
  <si>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</si>
  <si>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</si>
  <si>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</si>
  <si>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</si>
  <si>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</si>
  <si>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</si>
  <si>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</si>
  <si>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</si>
  <si>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</si>
  <si>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</si>
  <si>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</si>
  <si>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</si>
  <si>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</si>
  <si>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</si>
  <si>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</si>
  <si>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</si>
  <si>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</si>
  <si>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</si>
  <si>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</si>
  <si>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</si>
  <si>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</si>
  <si>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</si>
  <si>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</si>
  <si>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</si>
  <si>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</si>
  <si>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</si>
  <si>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</si>
  <si>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</si>
  <si>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</si>
  <si>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</si>
  <si>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</si>
  <si>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</si>
  <si>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</si>
  <si>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</si>
  <si>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</si>
  <si>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</si>
  <si>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</si>
  <si>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</si>
  <si>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</si>
  <si>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</si>
  <si>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</si>
  <si>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</si>
  <si>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</si>
  <si>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</si>
  <si>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</si>
  <si>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</si>
  <si>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</si>
  <si>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</si>
  <si>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</si>
  <si>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</si>
  <si>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</si>
  <si>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</si>
  <si>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</si>
  <si>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</si>
  <si>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</si>
  <si>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</si>
  <si>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</si>
  <si>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</si>
  <si>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</si>
  <si>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</si>
  <si>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</si>
  <si>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</si>
  <si>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</si>
  <si>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</si>
  <si>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</si>
  <si>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</si>
  <si>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</si>
  <si>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</si>
  <si>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</si>
  <si>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</si>
  <si>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</si>
  <si>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</si>
  <si>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</si>
  <si>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</si>
  <si>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</si>
  <si>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</si>
  <si>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</si>
  <si>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</si>
  <si>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</si>
  <si>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</si>
  <si>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</si>
  <si>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</si>
  <si>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</si>
  <si>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</si>
  <si>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</si>
  <si>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</si>
  <si>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</si>
  <si>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</si>
  <si>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</si>
  <si>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</si>
  <si>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</si>
  <si>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</si>
  <si>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</si>
  <si>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</si>
  <si>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</si>
  <si>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</si>
  <si>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</si>
  <si>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</si>
  <si>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</si>
  <si>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</si>
  <si>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</si>
  <si>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</si>
  <si>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</si>
  <si>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</si>
  <si>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</si>
  <si>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</si>
  <si>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</si>
  <si>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</si>
  <si>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</si>
  <si>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</si>
  <si>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</si>
  <si>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</si>
  <si>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</si>
  <si>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</si>
  <si>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</si>
  <si>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</si>
  <si>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</si>
  <si>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</si>
  <si>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</si>
  <si>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</si>
  <si>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</si>
  <si>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</si>
  <si>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</si>
  <si>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</si>
  <si>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</si>
  <si>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</si>
  <si>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</si>
  <si>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</si>
  <si>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</si>
  <si>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</si>
  <si>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</si>
  <si>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</si>
  <si>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</si>
  <si>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</si>
  <si>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</si>
  <si>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</si>
  <si>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</si>
  <si>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</si>
  <si>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</si>
  <si>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</si>
  <si>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</si>
  <si>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</si>
  <si>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</si>
  <si>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</si>
  <si>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</si>
  <si>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</si>
  <si>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</si>
  <si>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</si>
  <si>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</si>
  <si>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</si>
  <si>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</si>
  <si>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</si>
  <si>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</si>
  <si>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</si>
  <si>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</si>
  <si>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</si>
  <si>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</si>
  <si>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</si>
  <si>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</si>
  <si>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</si>
  <si>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</si>
  <si>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</si>
  <si>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</si>
  <si>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</si>
  <si>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</si>
  <si>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</si>
  <si>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</si>
  <si>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</si>
  <si>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</si>
  <si>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</si>
  <si>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</si>
  <si>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</si>
  <si>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</si>
  <si>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</si>
  <si>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</si>
  <si>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</si>
  <si>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</si>
  <si>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</si>
  <si>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</si>
  <si>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</si>
  <si>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</si>
  <si>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</si>
  <si>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</si>
  <si>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</si>
  <si>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</si>
  <si>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</si>
  <si>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</si>
  <si>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</si>
  <si>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</si>
  <si>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</si>
  <si>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</si>
  <si>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</si>
  <si>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</si>
  <si>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</si>
  <si>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</si>
  <si>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</si>
  <si>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</si>
  <si>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</si>
  <si>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</si>
  <si>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</si>
  <si>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</si>
  <si>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</si>
  <si>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</si>
  <si>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</si>
  <si>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</si>
  <si>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</si>
  <si>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</si>
  <si>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</si>
  <si>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</si>
  <si>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</si>
  <si>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</si>
  <si>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</si>
  <si>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</si>
  <si>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</si>
  <si>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</si>
  <si>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</si>
  <si>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</si>
  <si>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</si>
  <si>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</si>
  <si>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</si>
  <si>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</si>
  <si>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</si>
  <si>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</si>
  <si>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</si>
  <si>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</si>
  <si>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</si>
  <si>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</si>
  <si>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</si>
  <si>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</si>
  <si>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</si>
  <si>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</si>
  <si>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</si>
  <si>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</si>
  <si>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</si>
  <si>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</si>
  <si>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</si>
  <si>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</si>
  <si>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</si>
  <si>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</si>
  <si>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</si>
  <si>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</si>
  <si>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</si>
  <si>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</si>
  <si>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</si>
  <si>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</si>
  <si>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</si>
  <si>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</si>
  <si>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</si>
  <si>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</si>
  <si>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</si>
  <si>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</si>
  <si>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</si>
  <si>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</si>
  <si>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</si>
  <si>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</si>
  <si>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</si>
  <si>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</si>
  <si>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</si>
  <si>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</si>
  <si>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</si>
  <si>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</si>
  <si>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</si>
  <si>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</si>
  <si>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</si>
  <si>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</si>
  <si>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</si>
  <si>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</si>
  <si>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</si>
  <si>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</si>
  <si>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</si>
  <si>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</si>
  <si>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</si>
  <si>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</si>
  <si>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</si>
  <si>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</si>
  <si>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</si>
  <si>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</si>
  <si>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</si>
  <si>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</si>
  <si>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</si>
  <si>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</si>
  <si>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</si>
  <si>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</si>
  <si>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</si>
  <si>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</si>
  <si>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</si>
  <si>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</si>
  <si>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</si>
  <si>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</si>
  <si>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</si>
  <si>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</si>
  <si>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</si>
  <si>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</si>
  <si>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</si>
  <si>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</si>
  <si>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</si>
  <si>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</si>
  <si>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</si>
  <si>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</si>
  <si>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</si>
  <si>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</si>
  <si>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</si>
  <si>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</si>
  <si>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</si>
  <si>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</si>
  <si>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</si>
  <si>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</si>
  <si>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</si>
  <si>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</si>
  <si>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</si>
  <si>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</si>
  <si>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</si>
  <si>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</si>
  <si>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</si>
  <si>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</si>
  <si>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</si>
  <si>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</si>
  <si>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</si>
  <si>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</si>
  <si>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</si>
  <si>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</si>
  <si>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</si>
  <si>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</si>
  <si>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</si>
  <si>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</si>
  <si>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</si>
  <si>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</si>
  <si>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</si>
  <si>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</si>
  <si>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</si>
  <si>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</si>
  <si>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</si>
  <si>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</si>
  <si>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</si>
  <si>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</si>
  <si>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</si>
  <si>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</si>
  <si>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</si>
  <si>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</si>
  <si>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</si>
  <si>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</si>
  <si>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</si>
  <si>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</si>
  <si>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</si>
  <si>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</si>
  <si>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</si>
  <si>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</si>
  <si>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</si>
  <si>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</si>
  <si>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</si>
  <si>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</si>
  <si>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Benefit Plan of Illinois, Inc.</t>
  </si>
  <si>
    <t>HUMANA GRP</t>
  </si>
  <si>
    <t>Humana</t>
  </si>
  <si>
    <t>119</t>
  </si>
  <si>
    <t>2014</t>
  </si>
  <si>
    <t>7915 N Hale Avenue, Suite D Peoria, IL 61615</t>
  </si>
  <si>
    <t>371326199</t>
  </si>
  <si>
    <t>060052</t>
  </si>
  <si>
    <t>60052</t>
  </si>
  <si>
    <t>87715</t>
  </si>
  <si>
    <t>211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</si>
</sst>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154</v>
      </c>
    </row>
    <row r="13" spans="1:6" x14ac:dyDescent="0.2">
      <c r="B13" s="238" t="s">
        <v>50</v>
      </c>
      <c r="C13" s="384" t="s">
        <v>154</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7329598</v>
      </c>
      <c r="Q5" s="112">
        <f>SUM('Pt 2 Premium and Claims'!Q$5,'Pt 2 Premium and Claims'!Q$6,-'Pt 2 Premium and Claims'!Q$7,-'Pt 2 Premium and Claims'!Q$13,'Pt 2 Premium and Claims'!Q$14)</f>
        <v>7393767.25</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156962267</v>
      </c>
      <c r="AT5" s="113">
        <f>SUM('Pt 2 Premium and Claims'!AT$5,'Pt 2 Premium and Claims'!AT$6,-'Pt 2 Premium and Claims'!AT$7,-'Pt 2 Premium and Claims'!AT$13,'Pt 2 Premium and Claims'!AT$14)</f>
        <v>433094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v>-7837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6161015</v>
      </c>
      <c r="Q12" s="112">
        <f>'Pt 2 Premium and Claims'!Q$54</f>
        <v>6999875.8324999996</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121412865</v>
      </c>
      <c r="AT12" s="113">
        <f>'Pt 2 Premium and Claims'!AT$54</f>
        <v>263598</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v>1108394</v>
      </c>
      <c r="Q13" s="116">
        <v>1105643.55</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14506314</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v>124741</v>
      </c>
      <c r="Q14" s="116">
        <v>123993.82999999999</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3680368</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v>148048</v>
      </c>
      <c r="Q15" s="116">
        <v>148048</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1955971</v>
      </c>
      <c r="AT15" s="119">
        <v>5402</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v>-1981000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11734</v>
      </c>
      <c r="Q22" s="121">
        <f>'Pt 2 Premium and Claims'!Q$55</f>
        <v>11734</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105741.1044</v>
      </c>
      <c r="Q25" s="116">
        <v>105741.1044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4270941.875</v>
      </c>
      <c r="AT25" s="119">
        <v>33550.5815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v>2279.67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89378.05</v>
      </c>
      <c r="Q27" s="116">
        <v>89378.05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1946761.2</v>
      </c>
      <c r="AT27" s="119">
        <v>5376.21</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v>58669.61</v>
      </c>
      <c r="Q28" s="116">
        <v>10382.81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9209.9</v>
      </c>
      <c r="AT28" s="119">
        <v>25.45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v>13433.823512999999</v>
      </c>
      <c r="Q30" s="116">
        <v>14502.663513</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372395.91910000006</v>
      </c>
      <c r="AT30" s="119">
        <v>2976.265566</v>
      </c>
      <c r="AU30" s="119"/>
      <c r="AV30" s="119"/>
      <c r="AW30" s="324"/>
    </row>
    <row r="31" spans="1:49" x14ac:dyDescent="0.2">
      <c r="B31" s="164" t="s">
        <v>248</v>
      </c>
      <c r="C31" s="68"/>
      <c r="D31" s="115"/>
      <c r="E31" s="116"/>
      <c r="F31" s="116"/>
      <c r="G31" s="116"/>
      <c r="H31" s="116"/>
      <c r="I31" s="115"/>
      <c r="J31" s="115"/>
      <c r="K31" s="116"/>
      <c r="L31" s="116"/>
      <c r="M31" s="116"/>
      <c r="N31" s="116"/>
      <c r="O31" s="115"/>
      <c r="P31" s="115">
        <v>-0.51</v>
      </c>
      <c r="Q31" s="116">
        <v>-0.51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1730.94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v>56073.78</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5589.68</v>
      </c>
      <c r="Q35" s="116">
        <v>5589.68</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110866.59000000001</v>
      </c>
      <c r="AT35" s="119">
        <v>300.03000000000003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15301</v>
      </c>
      <c r="Q37" s="124">
        <v>15301.32</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1434155</v>
      </c>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7162</v>
      </c>
      <c r="Q38" s="116">
        <v>7161.5199999999995</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786969</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v>5801</v>
      </c>
      <c r="Q39" s="116">
        <v>5800.7199999999993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324576</v>
      </c>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v>60492</v>
      </c>
      <c r="Q40" s="116">
        <v>60492.45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1045994</v>
      </c>
      <c r="AT40" s="119">
        <v>8</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v>4782</v>
      </c>
      <c r="Q41" s="116">
        <v>4782.3900000000003</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212924</v>
      </c>
      <c r="AT41" s="119">
        <v>371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91143</v>
      </c>
      <c r="Q44" s="124">
        <v>91143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1683037</v>
      </c>
      <c r="AT44" s="125">
        <v>993</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v>53662</v>
      </c>
      <c r="Q45" s="116">
        <v>53662</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1220516</v>
      </c>
      <c r="AT45" s="119">
        <v>1281</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v>13664</v>
      </c>
      <c r="Q46" s="116">
        <v>13664</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2372633</v>
      </c>
      <c r="AT46" s="119">
        <v>4975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v>5083</v>
      </c>
      <c r="Q47" s="116">
        <v>5083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683893</v>
      </c>
      <c r="AT47" s="119">
        <v>501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v>61767.006486999991</v>
      </c>
      <c r="Q49" s="116">
        <v>50631.516486999994</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374568.76089999999</v>
      </c>
      <c r="AT49" s="119">
        <v>1332.7944339999995</v>
      </c>
      <c r="AU49" s="119"/>
      <c r="AV49" s="119"/>
      <c r="AW49" s="324"/>
    </row>
    <row r="50" spans="2:49" ht="25.5" x14ac:dyDescent="0.2">
      <c r="B50" s="161" t="s">
        <v>266</v>
      </c>
      <c r="C50" s="68"/>
      <c r="D50" s="115"/>
      <c r="E50" s="116"/>
      <c r="F50" s="116"/>
      <c r="G50" s="116"/>
      <c r="H50" s="116"/>
      <c r="I50" s="115"/>
      <c r="J50" s="115"/>
      <c r="K50" s="116"/>
      <c r="L50" s="116"/>
      <c r="M50" s="116"/>
      <c r="N50" s="116"/>
      <c r="O50" s="115"/>
      <c r="P50" s="115">
        <v>176.49</v>
      </c>
      <c r="Q50" s="116">
        <v>176.49</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5494.1999999999989</v>
      </c>
      <c r="AT50" s="119">
        <v>10.44</v>
      </c>
      <c r="AU50" s="119"/>
      <c r="AV50" s="119"/>
      <c r="AW50" s="324"/>
    </row>
    <row r="51" spans="2:49" x14ac:dyDescent="0.2">
      <c r="B51" s="161" t="s">
        <v>267</v>
      </c>
      <c r="C51" s="68"/>
      <c r="D51" s="115"/>
      <c r="E51" s="116"/>
      <c r="F51" s="116"/>
      <c r="G51" s="116"/>
      <c r="H51" s="116"/>
      <c r="I51" s="115"/>
      <c r="J51" s="115"/>
      <c r="K51" s="116"/>
      <c r="L51" s="116"/>
      <c r="M51" s="116"/>
      <c r="N51" s="116"/>
      <c r="O51" s="115"/>
      <c r="P51" s="115">
        <v>326175</v>
      </c>
      <c r="Q51" s="116">
        <v>326175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7477914</v>
      </c>
      <c r="AT51" s="119">
        <v>20484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513</v>
      </c>
      <c r="Q56" s="128">
        <v>511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13269</v>
      </c>
      <c r="AT56" s="129">
        <v>1412</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1066</v>
      </c>
      <c r="Q57" s="131">
        <v>1064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13571</v>
      </c>
      <c r="AT57" s="132">
        <v>1992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12836</v>
      </c>
      <c r="Q59" s="131">
        <v>12933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164779</v>
      </c>
      <c r="AT59" s="132">
        <v>23666</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1069.6666666666667</v>
      </c>
      <c r="Q60" s="134">
        <f>Q$59/12</f>
        <v>1077.75</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13731.583333333334</v>
      </c>
      <c r="AT60" s="135">
        <f>AT$59/12</f>
        <v>1972.1666666666667</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4572320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1846242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7329598</v>
      </c>
      <c r="Q5" s="124">
        <v>7393767.25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156962267</v>
      </c>
      <c r="AT5" s="125">
        <v>433094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v>128704</v>
      </c>
      <c r="Q11" s="116">
        <v>273771.24</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-4079554</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-3938701</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6172891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122999347</v>
      </c>
      <c r="AT23" s="119">
        <v>250267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6644732.3299999991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655755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14025170</v>
      </c>
      <c r="AT26" s="119">
        <v>17753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v>205366.09250000023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v>786056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15454727</v>
      </c>
      <c r="AT28" s="119">
        <v>4422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274235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v>128704</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-4079554</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v>273771.24</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-3938701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v>27353</v>
      </c>
      <c r="Q49" s="116">
        <v>123993.82999999999</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984867</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v>17074</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694560</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6161015</v>
      </c>
      <c r="Q54" s="121">
        <f>Q24+Q27+Q31+Q35-Q36+Q39+Q42+Q45+Q46-Q49+Q51+Q52+Q53</f>
        <v>6999875.8324999996</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121412865</v>
      </c>
      <c r="AT54" s="122">
        <f>AT23+AT26-AT28+AT30-AT32+AT34-AT36+AT38+AT41-AT43+AT45+AT46-AT47-AT49+AT50+AT51+AT52+AT53</f>
        <v>263598</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11734</v>
      </c>
      <c r="Q55" s="121">
        <f>MIN(MAX(0,Q56),MAX(0,Q57))</f>
        <v>11734</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v>11734</v>
      </c>
      <c r="Q56" s="116">
        <v>11734</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v>14938</v>
      </c>
      <c r="Q57" s="116">
        <v>14938</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1468672</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v>8146528.29</v>
      </c>
      <c r="N5" s="124">
        <v>7054378.034500001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v>8121523.8099999987</v>
      </c>
      <c r="N6" s="116">
        <v>6951376.1059999997</v>
      </c>
      <c r="O6" s="121">
        <f>SUM('Pt 1 Summary of Data'!Q$12,'Pt 1 Summary of Data'!Q$22)+SUM('Pt 1 Summary of Data'!S$12,'Pt 1 Summary of Data'!S$22)-SUM('Pt 1 Summary of Data'!T$12,'Pt 1 Summary of Data'!T$22)</f>
        <v>7011609.8324999996</v>
      </c>
      <c r="P6" s="121">
        <f>SUM(M6:O6)</f>
        <v>22084509.748499997</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v>99120.180000000022</v>
      </c>
      <c r="N7" s="116">
        <v>77279.760000000009</v>
      </c>
      <c r="O7" s="121">
        <f>SUM('Pt 1 Summary of Data'!Q$37:Q$41)+SUM('Pt 1 Summary of Data'!S$37:S$41)-SUM('Pt 1 Summary of Data'!T$37:T$41)+MAX(0,MIN('Pt 1 Summary of Data'!Q$42+'Pt 1 Summary of Data'!S$42-'Pt 1 Summary of Data'!T$42,0.3%*('Pt 1 Summary of Data'!Q$5+'Pt 1 Summary of Data'!S$5-'Pt 1 Summary of Data'!T$5)))</f>
        <v>93538.4</v>
      </c>
      <c r="P7" s="121">
        <f>SUM(M7:O7)</f>
        <v>269938.34000000003</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8220643.9899999984</v>
      </c>
      <c r="N12" s="121">
        <f>SUM(N$6:N$7)</f>
        <v>7028655.8659999995</v>
      </c>
      <c r="O12" s="121">
        <f>SUM(O$6:O$7)</f>
        <v>7105148.2324999999</v>
      </c>
      <c r="P12" s="121">
        <f>SUM(M$12:O$12)+M$17*MAX(0,O$49-M$49)+N$17*MAX(0,O$49-N$49)</f>
        <v>22354448.088500001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v>8155932.8300000001</v>
      </c>
      <c r="N15" s="124">
        <v>6972726.941059541</v>
      </c>
      <c r="O15" s="112">
        <f>SUM('Pt 1 Summary of Data'!Q$5:Q$7)+SUM('Pt 1 Summary of Data'!S$5:S$7)-SUM('Pt 1 Summary of Data'!T$5:T$7)+N$55</f>
        <v>7396731.59894046</v>
      </c>
      <c r="P15" s="112">
        <f>SUM(M15:O15)</f>
        <v>22525391.370000001</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v>28689</v>
      </c>
      <c r="N16" s="116">
        <v>-830635.156520096</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283594.404433096</v>
      </c>
      <c r="P16" s="121">
        <f>SUM(M16:O16)</f>
        <v>-518351.752087</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8127243.8300000001</v>
      </c>
      <c r="N17" s="121">
        <f>N$15-N$16</f>
        <v>7803362.0975796366</v>
      </c>
      <c r="O17" s="121">
        <f>O$15-O$16</f>
        <v>7113137.1945073642</v>
      </c>
      <c r="P17" s="121">
        <f>P$15-P$16</f>
        <v>23043743.122087002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v>1290.3333333333333</v>
      </c>
      <c r="N37" s="128">
        <v>1179</v>
      </c>
      <c r="O37" s="262">
        <f>('Pt 1 Summary of Data'!Q$59+'Pt 1 Summary of Data'!S$59-'Pt 1 Summary of Data'!T$59)/12</f>
        <v>1077.75</v>
      </c>
      <c r="P37" s="262">
        <f>SUM(M$37:O$37)</f>
        <v>3547.083333333333</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4.5717500000000001E-2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4.5717500000000001E-2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1.0114922305708649</v>
      </c>
      <c r="N44" s="266">
        <f>IF(OR(N$37&lt;1000,N$17&lt;=0),"",N$12/N$17)</f>
        <v>0.90072148108826999</v>
      </c>
      <c r="O44" s="266">
        <f>IF(OR(O$37&lt;1000,O$17&lt;=0),"",O$12/O$17)</f>
        <v>0.99887687221701094</v>
      </c>
      <c r="P44" s="266">
        <f>IF(OR(P$37&lt;1000,P$17&lt;=0),"",P$12/P$17)</f>
        <v>0.97008754046879109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f ca="1">IF(P$44="","",P$41)</f>
        <v>4.5717500000000001E-2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1.016</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2028</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1.016</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7113137.1945073642</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v>2964.3489404602547</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v>-352.84347990401585</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511</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