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6" i="10" s="1"/>
  <c r="AA45" i="10"/>
  <c r="Z45" i="10"/>
  <c r="Y45" i="10"/>
  <c r="X45" i="10"/>
  <c r="X46" i="10" s="1"/>
  <c r="W45" i="10"/>
  <c r="V45" i="10"/>
  <c r="U45" i="10"/>
  <c r="T45" i="10"/>
  <c r="T46" i="10" s="1"/>
  <c r="S45" i="10"/>
  <c r="R45" i="10"/>
  <c r="Q45" i="10"/>
  <c r="N44" i="10"/>
  <c r="M44" i="10"/>
  <c r="AN41" i="10"/>
  <c r="AB41" i="10"/>
  <c r="X41" i="10"/>
  <c r="T41" i="10"/>
  <c r="P41" i="10"/>
  <c r="AN40" i="10"/>
  <c r="AB40" i="10"/>
  <c r="X40" i="10"/>
  <c r="T40" i="10"/>
  <c r="P40" i="10"/>
  <c r="K40" i="10"/>
  <c r="F40" i="10"/>
  <c r="AN38" i="10"/>
  <c r="AB38" i="10"/>
  <c r="X38" i="10"/>
  <c r="AN37" i="10"/>
  <c r="AM37" i="10"/>
  <c r="AN6" i="10" s="1"/>
  <c r="AB37" i="10"/>
  <c r="AA37" i="10"/>
  <c r="X37" i="10"/>
  <c r="W37" i="10"/>
  <c r="T37" i="10"/>
  <c r="S37" i="10"/>
  <c r="P37" i="10"/>
  <c r="O37" i="10"/>
  <c r="L29" i="10"/>
  <c r="L28" i="10"/>
  <c r="L25" i="10"/>
  <c r="L21" i="10"/>
  <c r="L20" i="10"/>
  <c r="L19" i="10"/>
  <c r="L24" i="10" s="1"/>
  <c r="AM17" i="10"/>
  <c r="AL17" i="10"/>
  <c r="AB17" i="10"/>
  <c r="AA17" i="10"/>
  <c r="Z17" i="10"/>
  <c r="Y17" i="10"/>
  <c r="X17" i="10"/>
  <c r="W17" i="10"/>
  <c r="V17" i="10"/>
  <c r="U17" i="10"/>
  <c r="T17" i="10"/>
  <c r="S17" i="10"/>
  <c r="R17" i="10"/>
  <c r="Q17" i="10"/>
  <c r="T13" i="10" s="1"/>
  <c r="P17" i="10"/>
  <c r="O17" i="10"/>
  <c r="N17" i="10"/>
  <c r="M17" i="10"/>
  <c r="AM16" i="10"/>
  <c r="AB16" i="10"/>
  <c r="AA16" i="10"/>
  <c r="X16" i="10"/>
  <c r="W16" i="10"/>
  <c r="W13" i="10" s="1"/>
  <c r="T16" i="10"/>
  <c r="S16" i="10"/>
  <c r="P16" i="10"/>
  <c r="O16" i="10"/>
  <c r="L16" i="10"/>
  <c r="K16" i="10"/>
  <c r="J16" i="10"/>
  <c r="G16" i="10"/>
  <c r="F16" i="10"/>
  <c r="E16" i="10"/>
  <c r="AM15" i="10"/>
  <c r="AB15" i="10"/>
  <c r="AA15" i="10"/>
  <c r="X15" i="10"/>
  <c r="W15" i="10"/>
  <c r="T15" i="10"/>
  <c r="S15" i="10"/>
  <c r="R13" i="10" s="1"/>
  <c r="P15" i="10"/>
  <c r="O15" i="10"/>
  <c r="L15" i="10"/>
  <c r="AM13" i="10"/>
  <c r="AL13" i="10"/>
  <c r="AB13" i="10"/>
  <c r="AA13" i="10"/>
  <c r="Z13" i="10"/>
  <c r="Y13" i="10"/>
  <c r="V13" i="10"/>
  <c r="U13" i="10"/>
  <c r="Q13" i="10"/>
  <c r="N12" i="10"/>
  <c r="M12" i="10"/>
  <c r="K11" i="10"/>
  <c r="J11" i="10"/>
  <c r="F11" i="10"/>
  <c r="E11" i="10"/>
  <c r="L10" i="10"/>
  <c r="K10" i="10"/>
  <c r="J10" i="10"/>
  <c r="G10" i="10"/>
  <c r="F10" i="10"/>
  <c r="E10" i="10"/>
  <c r="G9" i="10"/>
  <c r="F9" i="10"/>
  <c r="E9" i="10"/>
  <c r="F8" i="10"/>
  <c r="AN7" i="10"/>
  <c r="AM7" i="10"/>
  <c r="AB7" i="10"/>
  <c r="AA7" i="10"/>
  <c r="X7" i="10"/>
  <c r="W7" i="10"/>
  <c r="T7" i="10"/>
  <c r="S7" i="10"/>
  <c r="P7" i="10"/>
  <c r="O7" i="10"/>
  <c r="L7" i="10"/>
  <c r="AM6" i="10"/>
  <c r="AB6" i="10"/>
  <c r="AA6" i="10"/>
  <c r="X6" i="10"/>
  <c r="W6" i="10"/>
  <c r="T6" i="10"/>
  <c r="S6" i="10"/>
  <c r="L6" i="10"/>
  <c r="K6" i="10"/>
  <c r="J6" i="10"/>
  <c r="G6" i="10"/>
  <c r="F6" i="10"/>
  <c r="E6" i="10"/>
  <c r="AU55" i="18"/>
  <c r="AT55" i="18"/>
  <c r="AT22" i="4" s="1"/>
  <c r="AS55" i="18"/>
  <c r="AS22" i="4" s="1"/>
  <c r="AR55" i="18"/>
  <c r="AR22" i="4" s="1"/>
  <c r="AQ55" i="18"/>
  <c r="AQ22" i="4" s="1"/>
  <c r="AP55" i="18"/>
  <c r="AP22" i="4" s="1"/>
  <c r="AO55" i="18"/>
  <c r="AN55" i="18"/>
  <c r="AC55" i="18"/>
  <c r="AB55" i="18"/>
  <c r="AA55" i="18"/>
  <c r="AA22" i="4" s="1"/>
  <c r="Z55" i="18"/>
  <c r="Y55" i="18"/>
  <c r="X55" i="18"/>
  <c r="W55" i="18"/>
  <c r="V55" i="18"/>
  <c r="V22" i="4" s="1"/>
  <c r="U55" i="18"/>
  <c r="U22" i="4" s="1"/>
  <c r="T55" i="18"/>
  <c r="T22" i="4" s="1"/>
  <c r="S55" i="18"/>
  <c r="R55" i="18"/>
  <c r="R22" i="4" s="1"/>
  <c r="Q55" i="18"/>
  <c r="Q22" i="4" s="1"/>
  <c r="P55" i="18"/>
  <c r="P22" i="4" s="1"/>
  <c r="O55" i="18"/>
  <c r="O22" i="4" s="1"/>
  <c r="N55" i="18"/>
  <c r="N22" i="4" s="1"/>
  <c r="M55" i="18"/>
  <c r="M22" i="4" s="1"/>
  <c r="L55" i="18"/>
  <c r="K55" i="18"/>
  <c r="K22" i="4" s="1"/>
  <c r="J55" i="18"/>
  <c r="J22" i="4" s="1"/>
  <c r="I55" i="18"/>
  <c r="I22" i="4" s="1"/>
  <c r="H55" i="18"/>
  <c r="H22" i="4" s="1"/>
  <c r="G55" i="18"/>
  <c r="G22" i="4" s="1"/>
  <c r="F55" i="18"/>
  <c r="F22" i="4" s="1"/>
  <c r="E55" i="18"/>
  <c r="E22" i="4" s="1"/>
  <c r="D55" i="18"/>
  <c r="D22" i="4" s="1"/>
  <c r="AU54" i="18"/>
  <c r="AT54" i="18"/>
  <c r="AT12" i="4" s="1"/>
  <c r="AS54" i="18"/>
  <c r="AS12" i="4" s="1"/>
  <c r="AR54" i="18"/>
  <c r="AR12" i="4" s="1"/>
  <c r="AQ54" i="18"/>
  <c r="AQ12" i="4" s="1"/>
  <c r="AP54" i="18"/>
  <c r="AP12" i="4" s="1"/>
  <c r="AO54" i="18"/>
  <c r="AN54" i="18"/>
  <c r="AC54" i="18"/>
  <c r="AB54" i="18"/>
  <c r="AA54" i="18"/>
  <c r="Z54" i="18"/>
  <c r="Y54" i="18"/>
  <c r="X54" i="18"/>
  <c r="W54" i="18"/>
  <c r="V54" i="18"/>
  <c r="U54" i="18"/>
  <c r="U12" i="4" s="1"/>
  <c r="T54" i="18"/>
  <c r="S54" i="18"/>
  <c r="R54" i="18"/>
  <c r="Q54" i="18"/>
  <c r="Q12" i="4" s="1"/>
  <c r="O6" i="10" s="1"/>
  <c r="P54" i="18"/>
  <c r="O54" i="18"/>
  <c r="N54" i="18"/>
  <c r="M54" i="18"/>
  <c r="L54" i="18"/>
  <c r="K54" i="18"/>
  <c r="J54" i="18"/>
  <c r="J12" i="4" s="1"/>
  <c r="I54" i="18"/>
  <c r="I12" i="4" s="1"/>
  <c r="H54" i="18"/>
  <c r="H12" i="4" s="1"/>
  <c r="G54" i="18"/>
  <c r="G12" i="4" s="1"/>
  <c r="F54" i="18"/>
  <c r="F12" i="4" s="1"/>
  <c r="E54" i="18"/>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O22" i="4"/>
  <c r="AN22" i="4"/>
  <c r="AC22" i="4"/>
  <c r="AB22" i="4"/>
  <c r="Z22" i="4"/>
  <c r="Y22" i="4"/>
  <c r="X22" i="4"/>
  <c r="W22" i="4"/>
  <c r="S22" i="4"/>
  <c r="L22" i="4"/>
  <c r="AU12" i="4"/>
  <c r="AO12" i="4"/>
  <c r="AN12" i="4"/>
  <c r="AC12" i="4"/>
  <c r="AB12" i="4"/>
  <c r="AA12" i="4"/>
  <c r="Z12" i="4"/>
  <c r="Y12" i="4"/>
  <c r="X12" i="4"/>
  <c r="W12" i="4"/>
  <c r="V12" i="4"/>
  <c r="T12" i="4"/>
  <c r="S12" i="4"/>
  <c r="R12" i="4"/>
  <c r="P12" i="4"/>
  <c r="O12" i="4"/>
  <c r="N12" i="4"/>
  <c r="M12" i="4"/>
  <c r="L12" i="4"/>
  <c r="K12" i="4"/>
  <c r="E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7" i="10" s="1"/>
  <c r="H5" i="4"/>
  <c r="G5" i="4"/>
  <c r="F5" i="4"/>
  <c r="E5" i="4"/>
  <c r="E15" i="10" s="1"/>
  <c r="D5" i="4"/>
  <c r="L23" i="10" l="1"/>
  <c r="L27" i="10" s="1"/>
  <c r="J7" i="10"/>
  <c r="P6" i="10"/>
  <c r="O12" i="10"/>
  <c r="F15" i="10"/>
  <c r="K7" i="10"/>
  <c r="E7" i="10"/>
  <c r="G15" i="10"/>
  <c r="G20" i="10" s="1"/>
  <c r="J15" i="10"/>
  <c r="L26" i="10"/>
  <c r="L30" i="10" s="1"/>
  <c r="L31" i="10"/>
  <c r="L32" i="10" s="1"/>
  <c r="L33" i="10" s="1"/>
  <c r="G25" i="10"/>
  <c r="AB47" i="10"/>
  <c r="AB50" i="10" s="1"/>
  <c r="T47" i="10"/>
  <c r="T50" i="10" s="1"/>
  <c r="X47" i="10"/>
  <c r="X50" i="10" s="1"/>
  <c r="T38" i="10"/>
  <c r="AN13" i="10"/>
  <c r="AN15" i="10"/>
  <c r="AN17" i="10" s="1"/>
  <c r="AN16" i="10"/>
  <c r="X13" i="10"/>
  <c r="S13" i="10"/>
  <c r="P12" i="10" l="1"/>
  <c r="P44" i="10" s="1"/>
  <c r="P46" i="10" s="1"/>
  <c r="P47" i="10" s="1"/>
  <c r="P50" i="10" s="1"/>
  <c r="P52" i="10" s="1"/>
  <c r="E11" i="16" s="1"/>
  <c r="O44" i="10"/>
  <c r="P38" i="10" s="1"/>
  <c r="G19" i="10"/>
  <c r="G24" i="10" s="1"/>
  <c r="G23" i="10" s="1"/>
  <c r="G27" i="10" s="1"/>
  <c r="K15" i="10"/>
  <c r="J17" i="10" s="1"/>
  <c r="I17" i="10"/>
  <c r="G29" i="10"/>
  <c r="G28" i="10"/>
  <c r="J12" i="10"/>
  <c r="I12" i="10"/>
  <c r="F7" i="10"/>
  <c r="D17" i="10" s="1"/>
  <c r="J37" i="10" l="1"/>
  <c r="K37" i="10" s="1"/>
  <c r="D12" i="10"/>
  <c r="D44" i="10" s="1"/>
  <c r="I44" i="10"/>
  <c r="E12" i="10"/>
  <c r="C12" i="10"/>
  <c r="E17" i="10"/>
  <c r="F17" i="10"/>
  <c r="C17" i="10"/>
  <c r="E37" i="10"/>
  <c r="K17" i="10"/>
  <c r="H17" i="10"/>
  <c r="H12" i="10"/>
  <c r="G21" i="10"/>
  <c r="G31" i="10"/>
  <c r="G32" i="10" s="1"/>
  <c r="G33" i="10" s="1"/>
  <c r="G26" i="10"/>
  <c r="G30" i="10" s="1"/>
  <c r="H44" i="10" l="1"/>
  <c r="J44" i="10"/>
  <c r="C44" i="10"/>
  <c r="K38" i="10"/>
  <c r="K41" i="10"/>
  <c r="K51" i="10"/>
  <c r="E44" i="10"/>
  <c r="F37" i="10"/>
  <c r="F12" i="10"/>
  <c r="K12" i="10"/>
  <c r="K44" i="10" s="1"/>
  <c r="K46" i="10" s="1"/>
  <c r="K47" i="10" s="1"/>
  <c r="K50" i="10" s="1"/>
  <c r="K52" i="10" s="1"/>
  <c r="D11" i="16" s="1"/>
  <c r="F44" i="10" l="1"/>
  <c r="F41" i="10"/>
  <c r="F51" i="10"/>
  <c r="F38" i="10"/>
  <c r="F46" i="10" l="1"/>
  <c r="F47" i="10" s="1"/>
  <c r="F50" i="10" s="1"/>
  <c r="F52" i="10" s="1"/>
  <c r="C11" i="16" s="1"/>
</calcChain>
</file>

<file path=xl/sharedStrings.xml><?xml version="1.0" encoding="utf-8"?>
<sst xmlns="http://schemas.openxmlformats.org/spreadsheetml/2006/main" count="636" uniqueCount="536">
  <si>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</si>
  <si>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</si>
  <si>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</si>
  <si>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</si>
  <si>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</si>
  <si>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</si>
  <si>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</si>
  <si>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</si>
  <si>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</si>
  <si>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</si>
  <si>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</si>
  <si>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</si>
  <si>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</si>
  <si>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</si>
  <si>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</si>
  <si>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</si>
  <si>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</si>
  <si>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</si>
  <si>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</si>
  <si>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</si>
  <si>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</si>
  <si>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</si>
  <si>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</si>
  <si>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</si>
  <si>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</si>
  <si>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</si>
  <si>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</si>
  <si>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</si>
  <si>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</si>
  <si>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</si>
  <si>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</si>
  <si>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</si>
  <si>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</si>
  <si>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</si>
  <si>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</si>
  <si>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</si>
  <si>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</si>
  <si>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</si>
  <si>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</si>
  <si>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</si>
  <si>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</si>
  <si>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</si>
  <si>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</si>
  <si>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</si>
  <si>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</si>
  <si>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</si>
  <si>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</si>
  <si>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</si>
  <si>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</si>
  <si>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</si>
  <si>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</si>
  <si>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</si>
  <si>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</si>
  <si>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</si>
  <si>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</si>
  <si>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</si>
  <si>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</si>
  <si>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</si>
  <si>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</si>
  <si>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</si>
  <si>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</si>
  <si>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</si>
  <si>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</si>
  <si>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</si>
  <si>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</si>
  <si>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</si>
  <si>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</si>
  <si>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</si>
  <si>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</si>
  <si>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</si>
  <si>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</si>
  <si>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</si>
  <si>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</si>
  <si>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</si>
  <si>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</si>
  <si>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</si>
  <si>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</si>
  <si>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</si>
  <si>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</si>
  <si>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</si>
  <si>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</si>
  <si>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</si>
  <si>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</si>
  <si>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</si>
  <si>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</si>
  <si>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</si>
  <si>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</si>
  <si>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</si>
  <si>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</si>
  <si>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</si>
  <si>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</si>
  <si>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</si>
  <si>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</si>
  <si>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</si>
  <si>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</si>
  <si>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</si>
  <si>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</si>
  <si>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</si>
  <si>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</si>
  <si>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</si>
  <si>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</si>
  <si>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</si>
  <si>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</si>
  <si>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</si>
  <si>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</si>
  <si>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</si>
  <si>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</si>
  <si>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</si>
  <si>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</si>
  <si>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</si>
  <si>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</si>
  <si>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</si>
  <si>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</si>
  <si>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</si>
  <si>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</si>
  <si>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</si>
  <si>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</si>
  <si>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</si>
  <si>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</si>
  <si>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</si>
  <si>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</si>
  <si>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</si>
  <si>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</si>
  <si>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</si>
  <si>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</si>
  <si>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</si>
  <si>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</si>
  <si>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</si>
  <si>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</si>
  <si>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</si>
  <si>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</si>
  <si>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</si>
  <si>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</si>
  <si>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</si>
  <si>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</si>
  <si>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</si>
  <si>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</si>
  <si>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</si>
  <si>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</si>
  <si>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</si>
  <si>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</si>
  <si>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</si>
  <si>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</si>
  <si>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</si>
  <si>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</si>
  <si>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</si>
  <si>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</si>
  <si>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</si>
  <si>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</si>
  <si>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</si>
  <si>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</si>
  <si>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</si>
  <si>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</si>
  <si>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</si>
  <si>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</si>
  <si>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</si>
  <si>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</si>
  <si>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</si>
  <si>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</si>
  <si>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</si>
  <si>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</si>
  <si>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</si>
  <si>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</si>
  <si>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</si>
  <si>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</si>
  <si>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</si>
  <si>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</si>
  <si>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</si>
  <si>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</si>
  <si>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</si>
  <si>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</si>
  <si>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</si>
  <si>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</si>
  <si>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</si>
  <si>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</si>
  <si>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</si>
  <si>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</si>
  <si>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</si>
  <si>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</si>
  <si>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</si>
  <si>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</si>
  <si>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</si>
  <si>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</si>
  <si>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</si>
  <si>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</si>
  <si>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</si>
  <si>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</si>
  <si>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</si>
  <si>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</si>
  <si>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</si>
  <si>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</si>
  <si>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</si>
  <si>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</si>
  <si>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</si>
  <si>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</si>
  <si>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</si>
  <si>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</si>
  <si>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</si>
  <si>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</si>
  <si>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</si>
  <si>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</si>
  <si>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</si>
  <si>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</si>
  <si>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</si>
  <si>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</si>
  <si>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</si>
  <si>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</si>
  <si>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</si>
  <si>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</si>
  <si>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</si>
  <si>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</si>
  <si>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</si>
  <si>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</si>
  <si>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</si>
  <si>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</si>
  <si>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</si>
  <si>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</si>
  <si>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</si>
  <si>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</si>
  <si>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</si>
  <si>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</si>
  <si>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</si>
  <si>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</si>
  <si>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</si>
  <si>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</si>
  <si>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</si>
  <si>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</si>
  <si>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</si>
  <si>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</si>
  <si>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</si>
  <si>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</si>
  <si>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</si>
  <si>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</si>
  <si>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</si>
  <si>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</si>
  <si>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</si>
  <si>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</si>
  <si>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</si>
  <si>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</si>
  <si>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</si>
  <si>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</si>
  <si>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</si>
  <si>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</si>
  <si>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</si>
  <si>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</si>
  <si>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</si>
  <si>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</si>
  <si>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</si>
  <si>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</si>
  <si>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</si>
  <si>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</si>
  <si>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</si>
  <si>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</si>
  <si>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</si>
  <si>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</si>
  <si>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</si>
  <si>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</si>
  <si>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</si>
  <si>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</si>
  <si>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</si>
  <si>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</si>
  <si>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</si>
  <si>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</si>
  <si>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</si>
  <si>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</si>
  <si>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</si>
  <si>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</si>
  <si>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</si>
  <si>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</si>
  <si>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</si>
  <si>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</si>
  <si>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</si>
  <si>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</si>
  <si>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</si>
  <si>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</si>
  <si>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</si>
  <si>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</si>
  <si>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</si>
  <si>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</si>
  <si>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</si>
  <si>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</si>
  <si>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</si>
  <si>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</si>
  <si>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</si>
  <si>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</si>
  <si>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</si>
  <si>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</si>
  <si>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</si>
  <si>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</si>
  <si>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</si>
  <si>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</si>
  <si>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</si>
  <si>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</si>
  <si>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</si>
  <si>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</si>
  <si>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</si>
  <si>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</si>
  <si>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</si>
  <si>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</si>
  <si>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</si>
  <si>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</si>
  <si>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</si>
  <si>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</si>
  <si>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</si>
  <si>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</si>
  <si>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</si>
  <si>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</si>
  <si>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</si>
  <si>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</si>
  <si>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</si>
  <si>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</si>
  <si>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</si>
  <si>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</si>
  <si>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</si>
  <si>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</si>
  <si>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</si>
  <si>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</si>
  <si>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</si>
  <si>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</si>
  <si>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</si>
  <si>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</si>
  <si>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</si>
  <si>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</si>
  <si>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</si>
  <si>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</si>
  <si>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</si>
  <si>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</si>
  <si>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</si>
  <si>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</si>
  <si>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</si>
  <si>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</si>
  <si>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</si>
  <si>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</si>
  <si>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</si>
  <si>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</si>
  <si>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</si>
  <si>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</si>
  <si>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</si>
  <si>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</si>
  <si>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</si>
  <si>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</si>
  <si>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</si>
  <si>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</si>
  <si>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</si>
  <si>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</si>
  <si>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</si>
  <si>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</si>
  <si>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</si>
  <si>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</si>
  <si>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</si>
  <si>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</si>
  <si>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</si>
  <si>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</si>
  <si>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</si>
  <si>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</si>
  <si>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</si>
  <si>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</si>
  <si>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</si>
  <si>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</si>
  <si>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</si>
  <si>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</si>
  <si>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</si>
  <si>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</si>
  <si>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</si>
  <si>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</si>
  <si>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</si>
  <si>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</si>
  <si>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</si>
  <si>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</si>
  <si>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</si>
  <si>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</si>
  <si>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</si>
  <si>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</si>
  <si>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</si>
  <si>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</si>
  <si>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</si>
  <si>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</si>
  <si>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</si>
  <si>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</si>
  <si>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</si>
  <si>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</si>
  <si>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</si>
  <si>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</si>
  <si>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</si>
  <si>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</si>
  <si>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</si>
  <si>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</si>
  <si>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</si>
  <si>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</si>
  <si>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</si>
  <si>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</si>
  <si>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</si>
  <si>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</si>
  <si>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</si>
  <si>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</si>
  <si>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</si>
  <si>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</si>
  <si>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</si>
  <si>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</si>
  <si>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</si>
  <si>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</si>
  <si>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</si>
  <si>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</si>
  <si>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</si>
  <si>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</si>
  <si>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</si>
  <si>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</si>
  <si>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</si>
  <si>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</si>
  <si>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</si>
  <si>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</si>
  <si>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</si>
  <si>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</si>
  <si>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</si>
  <si>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</si>
  <si>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</si>
  <si>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</si>
  <si>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</si>
  <si>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</si>
  <si>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</si>
  <si>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</si>
  <si>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</si>
  <si>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</si>
  <si>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</si>
  <si>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</si>
  <si>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</si>
  <si>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</si>
  <si>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</si>
  <si>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</si>
  <si>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</si>
  <si>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</si>
  <si>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</si>
  <si>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</si>
  <si>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</si>
  <si>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</si>
  <si>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</si>
  <si>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</si>
  <si>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</si>
  <si>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</si>
  <si>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</si>
  <si>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</si>
  <si>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</si>
  <si>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</si>
  <si>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</si>
  <si>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</si>
  <si>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</si>
  <si>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</si>
  <si>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</si>
  <si>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</si>
  <si>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</si>
  <si>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</si>
  <si>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</si>
  <si>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</si>
  <si>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</si>
  <si>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</si>
  <si>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</si>
  <si>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</si>
  <si>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</si>
  <si>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</si>
  <si>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</si>
  <si>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</si>
  <si>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</si>
  <si>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</si>
  <si>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</si>
  <si>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</si>
  <si>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</si>
  <si>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</si>
  <si>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</si>
  <si>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</si>
  <si>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</si>
  <si>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</si>
  <si>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</si>
  <si>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</si>
  <si>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</si>
  <si>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</si>
  <si>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</si>
  <si>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</si>
  <si>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</si>
  <si>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</si>
  <si>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</si>
  <si>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</si>
  <si>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</si>
  <si>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</si>
  <si>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</si>
  <si>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</si>
  <si>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</si>
  <si>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</si>
  <si>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</si>
  <si>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</si>
  <si>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</si>
  <si>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</si>
  <si>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</si>
  <si>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</si>
  <si>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</si>
  <si>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Humana Employers Health Plan of Georgia, Inc.</t>
  </si>
  <si>
    <t>HUMANA GRP</t>
  </si>
  <si>
    <t>Humana</t>
  </si>
  <si>
    <t>119</t>
  </si>
  <si>
    <t>2014</t>
  </si>
  <si>
    <t>900 Ashwood Parkway, Suite 400 Atlanta, GA 30338</t>
  </si>
  <si>
    <t>582209549</t>
  </si>
  <si>
    <t>095519</t>
  </si>
  <si>
    <t>95519</t>
  </si>
  <si>
    <t>212</t>
  </si>
  <si>
    <t>Humana Insurance Company</t>
  </si>
  <si>
    <t>Humana Health Insurance Company of Florida, Inc.</t>
  </si>
  <si>
    <t>Humana Health Plan of Ohio, Inc.</t>
  </si>
  <si>
    <t>Humana Health Plan of Texas, Inc.</t>
  </si>
  <si>
    <t>Humana Health Plan, Inc.</t>
  </si>
  <si>
    <t>Humana Insurance of Puerto Rico, Inc.</t>
  </si>
  <si>
    <t>Humana Medical Plan, Inc.</t>
  </si>
  <si>
    <t>Humana Wisconsin Health Organization Insurance Corporation</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</si>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</sst>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146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L40" activePane="bottomRight" state="frozen"/>
      <selection activeCell="B1" sqref="B1"/>
      <selection pane="topRight" activeCell="B1" sqref="B1"/>
      <selection pane="bottomLeft" activeCell="B1" sqref="B1"/>
      <selection pane="bottomRight" activeCell="AW63" sqref="AW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806279749</v>
      </c>
      <c r="E5" s="106">
        <f>SUM('Pt 2 Premium and Claims'!E$5,'Pt 2 Premium and Claims'!E$6,-'Pt 2 Premium and Claims'!E$7,-'Pt 2 Premium and Claims'!E$13,'Pt 2 Premium and Claims'!E$14:'Pt 2 Premium and Claims'!E$17)</f>
        <v>1095215268.3034375</v>
      </c>
      <c r="F5" s="106">
        <f>SUM('Pt 2 Premium and Claims'!F$5,'Pt 2 Premium and Claims'!F$6,-'Pt 2 Premium and Claims'!F$7,-'Pt 2 Premium and Claims'!F$13,'Pt 2 Premium and Claims'!F$14:'Pt 2 Premium and Claims'!F$17)</f>
        <v>31180075.560000002</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922167573</v>
      </c>
      <c r="J5" s="105">
        <f>SUM('Pt 2 Premium and Claims'!J$5,'Pt 2 Premium and Claims'!J$6,-'Pt 2 Premium and Claims'!J$7,-'Pt 2 Premium and Claims'!J$13,'Pt 2 Premium and Claims'!J$14,'Pt 2 Premium and Claims'!J$16:'Pt 2 Premium and Claims'!J$17)</f>
        <v>371212683</v>
      </c>
      <c r="K5" s="106">
        <f>SUM('Pt 2 Premium and Claims'!K$5,'Pt 2 Premium and Claims'!K$6,-'Pt 2 Premium and Claims'!K$7,-'Pt 2 Premium and Claims'!K$13,'Pt 2 Premium and Claims'!K$14,'Pt 2 Premium and Claims'!K$16:'Pt 2 Premium and Claims'!K$17)</f>
        <v>436170709.57032353</v>
      </c>
      <c r="L5" s="106">
        <f>SUM('Pt 2 Premium and Claims'!L$5,'Pt 2 Premium and Claims'!L$6,-'Pt 2 Premium and Claims'!L$7,-'Pt 2 Premium and Claims'!L$13,'Pt 2 Premium and Claims'!L$14,'Pt 2 Premium and Claims'!L$16:'Pt 2 Premium and Claims'!L$17)</f>
        <v>72349049.109999999</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114806697</v>
      </c>
      <c r="Q5" s="106">
        <f>SUM('Pt 2 Premium and Claims'!Q$5,'Pt 2 Premium and Claims'!Q$6,-'Pt 2 Premium and Claims'!Q$7,-'Pt 2 Premium and Claims'!Q$13,'Pt 2 Premium and Claims'!Q$14)</f>
        <v>136749375.4750742</v>
      </c>
      <c r="R5" s="106">
        <f>SUM('Pt 2 Premium and Claims'!R$5,'Pt 2 Premium and Claims'!R$6,-'Pt 2 Premium and Claims'!R$7,-'Pt 2 Premium and Claims'!R$13,'Pt 2 Premium and Claims'!R$14)</f>
        <v>13292779.699999997</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306702006</v>
      </c>
      <c r="AT5" s="107">
        <f>SUM('Pt 2 Premium and Claims'!AT$5,'Pt 2 Premium and Claims'!AT$6,-'Pt 2 Premium and Claims'!AT$7,-'Pt 2 Premium and Claims'!AT$13,'Pt 2 Premium and Claims'!AT$14)</f>
        <v>9168962</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v>-25837.559936671056</v>
      </c>
      <c r="F7" s="110">
        <v>-25837.559936671056</v>
      </c>
      <c r="G7" s="110"/>
      <c r="H7" s="110"/>
      <c r="I7" s="109"/>
      <c r="J7" s="109"/>
      <c r="K7" s="110">
        <v>-119129.84049784577</v>
      </c>
      <c r="L7" s="110">
        <v>-119129.84049784577</v>
      </c>
      <c r="M7" s="110"/>
      <c r="N7" s="110"/>
      <c r="O7" s="109"/>
      <c r="P7" s="109"/>
      <c r="Q7" s="110">
        <v>-24785.818324783686</v>
      </c>
      <c r="R7" s="110">
        <v>-24785.818324783686</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-9280929</v>
      </c>
      <c r="E8" s="289"/>
      <c r="F8" s="290"/>
      <c r="G8" s="290"/>
      <c r="H8" s="290"/>
      <c r="I8" s="293"/>
      <c r="J8" s="109">
        <v>-680346</v>
      </c>
      <c r="K8" s="289"/>
      <c r="L8" s="290"/>
      <c r="M8" s="290"/>
      <c r="N8" s="290"/>
      <c r="O8" s="293"/>
      <c r="P8" s="109">
        <v>-169567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-5998</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860755975</v>
      </c>
      <c r="E12" s="106">
        <f>'Pt 2 Premium and Claims'!E$54</f>
        <v>1037291727.5915002</v>
      </c>
      <c r="F12" s="106">
        <f>'Pt 2 Premium and Claims'!F$54</f>
        <v>37970158.100000001</v>
      </c>
      <c r="G12" s="106">
        <f>'Pt 2 Premium and Claims'!G$54</f>
        <v>0</v>
      </c>
      <c r="H12" s="106">
        <f>'Pt 2 Premium and Claims'!H$54</f>
        <v>0</v>
      </c>
      <c r="I12" s="105">
        <f>'Pt 2 Premium and Claims'!I$54</f>
        <v>964184866</v>
      </c>
      <c r="J12" s="105">
        <f>'Pt 2 Premium and Claims'!J$54</f>
        <v>295645363</v>
      </c>
      <c r="K12" s="106">
        <f>'Pt 2 Premium and Claims'!K$54</f>
        <v>347357106.7778343</v>
      </c>
      <c r="L12" s="106">
        <f>'Pt 2 Premium and Claims'!L$54</f>
        <v>58226645.791500002</v>
      </c>
      <c r="M12" s="106">
        <f>'Pt 2 Premium and Claims'!M$54</f>
        <v>0</v>
      </c>
      <c r="N12" s="106">
        <f>'Pt 2 Premium and Claims'!N$54</f>
        <v>0</v>
      </c>
      <c r="O12" s="105">
        <f>'Pt 2 Premium and Claims'!O$54</f>
        <v>0</v>
      </c>
      <c r="P12" s="105">
        <f>'Pt 2 Premium and Claims'!P$54</f>
        <v>95377623</v>
      </c>
      <c r="Q12" s="106">
        <f>'Pt 2 Premium and Claims'!Q$54</f>
        <v>115236000.89196564</v>
      </c>
      <c r="R12" s="106">
        <f>'Pt 2 Premium and Claims'!R$54</f>
        <v>11079076.983800001</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277246132</v>
      </c>
      <c r="AT12" s="107">
        <f>'Pt 2 Premium and Claims'!AT$54</f>
        <v>2924930</v>
      </c>
      <c r="AU12" s="107">
        <f>'Pt 2 Premium and Claims'!AU$54</f>
        <v>0</v>
      </c>
      <c r="AV12" s="312"/>
      <c r="AW12" s="317"/>
    </row>
    <row r="13" spans="1:49" ht="25.5" x14ac:dyDescent="0.2">
      <c r="B13" s="155" t="s">
        <v>230</v>
      </c>
      <c r="C13" s="62" t="s">
        <v>37</v>
      </c>
      <c r="D13" s="109">
        <v>111117409</v>
      </c>
      <c r="E13" s="110">
        <v>122049876.83</v>
      </c>
      <c r="F13" s="110"/>
      <c r="G13" s="289"/>
      <c r="H13" s="290"/>
      <c r="I13" s="109">
        <v>115511605</v>
      </c>
      <c r="J13" s="109">
        <v>68669641</v>
      </c>
      <c r="K13" s="110">
        <v>67246753.493610799</v>
      </c>
      <c r="L13" s="110"/>
      <c r="M13" s="289"/>
      <c r="N13" s="290"/>
      <c r="O13" s="109"/>
      <c r="P13" s="109">
        <v>20980628</v>
      </c>
      <c r="Q13" s="110">
        <v>22472263.386389207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37487910</v>
      </c>
      <c r="AT13" s="113"/>
      <c r="AU13" s="113"/>
      <c r="AV13" s="311"/>
      <c r="AW13" s="318"/>
    </row>
    <row r="14" spans="1:49" ht="25.5" x14ac:dyDescent="0.2">
      <c r="B14" s="155" t="s">
        <v>231</v>
      </c>
      <c r="C14" s="62" t="s">
        <v>6</v>
      </c>
      <c r="D14" s="109">
        <v>4737743</v>
      </c>
      <c r="E14" s="110">
        <v>5139428.0000000009</v>
      </c>
      <c r="F14" s="110"/>
      <c r="G14" s="288"/>
      <c r="H14" s="291"/>
      <c r="I14" s="109">
        <v>4302039</v>
      </c>
      <c r="J14" s="109">
        <v>7803956</v>
      </c>
      <c r="K14" s="110">
        <v>7543042.8624847466</v>
      </c>
      <c r="L14" s="110"/>
      <c r="M14" s="288"/>
      <c r="N14" s="291"/>
      <c r="O14" s="109"/>
      <c r="P14" s="109">
        <v>2051319</v>
      </c>
      <c r="Q14" s="110">
        <v>2154207.5775152538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10618775</v>
      </c>
      <c r="AT14" s="113"/>
      <c r="AU14" s="113"/>
      <c r="AV14" s="311"/>
      <c r="AW14" s="318"/>
    </row>
    <row r="15" spans="1:49" ht="38.25" x14ac:dyDescent="0.2">
      <c r="B15" s="155" t="s">
        <v>232</v>
      </c>
      <c r="C15" s="62" t="s">
        <v>7</v>
      </c>
      <c r="D15" s="109">
        <v>21014</v>
      </c>
      <c r="E15" s="110">
        <v>21014</v>
      </c>
      <c r="F15" s="110"/>
      <c r="G15" s="288"/>
      <c r="H15" s="294"/>
      <c r="I15" s="109">
        <v>19388</v>
      </c>
      <c r="J15" s="109">
        <v>8719</v>
      </c>
      <c r="K15" s="110">
        <v>8719</v>
      </c>
      <c r="L15" s="110"/>
      <c r="M15" s="288"/>
      <c r="N15" s="294"/>
      <c r="O15" s="109"/>
      <c r="P15" s="109">
        <v>2638</v>
      </c>
      <c r="Q15" s="110">
        <v>2638</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6888</v>
      </c>
      <c r="AT15" s="113">
        <v>19</v>
      </c>
      <c r="AU15" s="113"/>
      <c r="AV15" s="311"/>
      <c r="AW15" s="318"/>
    </row>
    <row r="16" spans="1:49" ht="25.5" x14ac:dyDescent="0.2">
      <c r="B16" s="155" t="s">
        <v>233</v>
      </c>
      <c r="C16" s="62" t="s">
        <v>61</v>
      </c>
      <c r="D16" s="109">
        <v>-222919723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-37000</v>
      </c>
      <c r="E17" s="288"/>
      <c r="F17" s="291"/>
      <c r="G17" s="291"/>
      <c r="H17" s="291"/>
      <c r="I17" s="292"/>
      <c r="J17" s="109">
        <v>-863434</v>
      </c>
      <c r="K17" s="288"/>
      <c r="L17" s="291"/>
      <c r="M17" s="291"/>
      <c r="N17" s="291"/>
      <c r="O17" s="292"/>
      <c r="P17" s="109">
        <v>2756153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-20698000</v>
      </c>
      <c r="AT17" s="113"/>
      <c r="AU17" s="113"/>
      <c r="AV17" s="311"/>
      <c r="AW17" s="318"/>
    </row>
    <row r="18" spans="1:49" x14ac:dyDescent="0.2">
      <c r="B18" s="155" t="s">
        <v>235</v>
      </c>
      <c r="C18" s="62" t="s">
        <v>63</v>
      </c>
      <c r="D18" s="109"/>
      <c r="E18" s="288"/>
      <c r="F18" s="291"/>
      <c r="G18" s="291"/>
      <c r="H18" s="294"/>
      <c r="I18" s="292"/>
      <c r="J18" s="109">
        <v>4274386</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6828643</v>
      </c>
      <c r="K19" s="288"/>
      <c r="L19" s="291"/>
      <c r="M19" s="291"/>
      <c r="N19" s="291"/>
      <c r="O19" s="292"/>
      <c r="P19" s="109">
        <v>2010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2754556</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475608</v>
      </c>
      <c r="E22" s="115">
        <f>'Pt 2 Premium and Claims'!E$55</f>
        <v>498463.43</v>
      </c>
      <c r="F22" s="115">
        <f>'Pt 2 Premium and Claims'!F$55</f>
        <v>0</v>
      </c>
      <c r="G22" s="115">
        <f>'Pt 2 Premium and Claims'!G$55</f>
        <v>0</v>
      </c>
      <c r="H22" s="115">
        <f>'Pt 2 Premium and Claims'!H$55</f>
        <v>0</v>
      </c>
      <c r="I22" s="114">
        <f>'Pt 2 Premium and Claims'!I$55</f>
        <v>230435</v>
      </c>
      <c r="J22" s="114">
        <f>'Pt 2 Premium and Claims'!J$55</f>
        <v>484004</v>
      </c>
      <c r="K22" s="115">
        <f>'Pt 2 Premium and Claims'!K$55</f>
        <v>486206.3</v>
      </c>
      <c r="L22" s="115">
        <f>'Pt 2 Premium and Claims'!L$55</f>
        <v>0</v>
      </c>
      <c r="M22" s="115">
        <f>'Pt 2 Premium and Claims'!M$55</f>
        <v>0</v>
      </c>
      <c r="N22" s="115">
        <f>'Pt 2 Premium and Claims'!N$55</f>
        <v>0</v>
      </c>
      <c r="O22" s="114">
        <f>'Pt 2 Premium and Claims'!O$55</f>
        <v>0</v>
      </c>
      <c r="P22" s="114">
        <f>'Pt 2 Premium and Claims'!P$55</f>
        <v>225444</v>
      </c>
      <c r="Q22" s="115">
        <f>'Pt 2 Premium and Claims'!Q$55</f>
        <v>225786.25</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24497474.299999997</v>
      </c>
      <c r="E25" s="110">
        <v>1362658.1786237408</v>
      </c>
      <c r="F25" s="110">
        <v>-1169069.9813762594</v>
      </c>
      <c r="G25" s="110"/>
      <c r="H25" s="110"/>
      <c r="I25" s="109">
        <v>-7141552</v>
      </c>
      <c r="J25" s="109">
        <v>2767371.4010000001</v>
      </c>
      <c r="K25" s="110">
        <v>6164974.0265004747</v>
      </c>
      <c r="L25" s="110">
        <v>3397602.6255004751</v>
      </c>
      <c r="M25" s="110"/>
      <c r="N25" s="110"/>
      <c r="O25" s="109"/>
      <c r="P25" s="109">
        <v>-338471.32339999999</v>
      </c>
      <c r="Q25" s="110">
        <v>-999732.52354388335</v>
      </c>
      <c r="R25" s="110">
        <v>-661261.20014388335</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-3666537.5750000002</v>
      </c>
      <c r="AT25" s="113">
        <v>923266.35840000003</v>
      </c>
      <c r="AU25" s="113"/>
      <c r="AV25" s="113"/>
      <c r="AW25" s="318"/>
    </row>
    <row r="26" spans="1:49" s="5" customFormat="1" x14ac:dyDescent="0.2">
      <c r="A26" s="35"/>
      <c r="B26" s="158" t="s">
        <v>243</v>
      </c>
      <c r="C26" s="62"/>
      <c r="D26" s="109"/>
      <c r="E26" s="110">
        <v>488180.92687771621</v>
      </c>
      <c r="F26" s="110">
        <v>22255.076877716227</v>
      </c>
      <c r="G26" s="110"/>
      <c r="H26" s="110"/>
      <c r="I26" s="109">
        <v>382678</v>
      </c>
      <c r="J26" s="109"/>
      <c r="K26" s="110">
        <v>212986.19098960969</v>
      </c>
      <c r="L26" s="110">
        <v>34693.11098960966</v>
      </c>
      <c r="M26" s="110"/>
      <c r="N26" s="110"/>
      <c r="O26" s="109"/>
      <c r="P26" s="109"/>
      <c r="Q26" s="110">
        <v>57826.592731528624</v>
      </c>
      <c r="R26" s="110">
        <v>5340.0527315286254</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10011145.220000004</v>
      </c>
      <c r="E27" s="110">
        <v>10416338.264825711</v>
      </c>
      <c r="F27" s="110">
        <v>405193.04482570634</v>
      </c>
      <c r="G27" s="110"/>
      <c r="H27" s="110"/>
      <c r="I27" s="109">
        <v>9332028</v>
      </c>
      <c r="J27" s="109">
        <v>4649550.3200000012</v>
      </c>
      <c r="K27" s="110">
        <v>5580437.5142167434</v>
      </c>
      <c r="L27" s="110">
        <v>930887.19421674241</v>
      </c>
      <c r="M27" s="110"/>
      <c r="N27" s="110"/>
      <c r="O27" s="109"/>
      <c r="P27" s="109">
        <v>1587999.9100000001</v>
      </c>
      <c r="Q27" s="110">
        <v>1722097.0517199191</v>
      </c>
      <c r="R27" s="110">
        <v>134097.14171991887</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3806353.8600000003</v>
      </c>
      <c r="AT27" s="113">
        <v>99084.87</v>
      </c>
      <c r="AU27" s="113"/>
      <c r="AV27" s="314"/>
      <c r="AW27" s="318"/>
    </row>
    <row r="28" spans="1:49" s="5" customFormat="1" x14ac:dyDescent="0.2">
      <c r="A28" s="35"/>
      <c r="B28" s="158" t="s">
        <v>245</v>
      </c>
      <c r="C28" s="62"/>
      <c r="D28" s="109">
        <v>3638208.79</v>
      </c>
      <c r="E28" s="110">
        <v>2145812.1328235879</v>
      </c>
      <c r="F28" s="110">
        <v>150920.26282358757</v>
      </c>
      <c r="G28" s="110"/>
      <c r="H28" s="110"/>
      <c r="I28" s="109">
        <v>1660237</v>
      </c>
      <c r="J28" s="109">
        <v>5460810.3200000003</v>
      </c>
      <c r="K28" s="110">
        <v>830699.67226866086</v>
      </c>
      <c r="L28" s="110">
        <v>124618.47226866077</v>
      </c>
      <c r="M28" s="110"/>
      <c r="N28" s="110"/>
      <c r="O28" s="109"/>
      <c r="P28" s="109">
        <v>1674923.56</v>
      </c>
      <c r="Q28" s="110">
        <v>270620.34355393646</v>
      </c>
      <c r="R28" s="110">
        <v>19613.383553936419</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18738.909999999996</v>
      </c>
      <c r="AT28" s="113">
        <v>1871.66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247354.24039999995</v>
      </c>
      <c r="E30" s="110">
        <v>394831.2946290386</v>
      </c>
      <c r="F30" s="110">
        <v>-54578.295770961326</v>
      </c>
      <c r="G30" s="110"/>
      <c r="H30" s="110"/>
      <c r="I30" s="109">
        <v>-191582</v>
      </c>
      <c r="J30" s="109">
        <v>202815.05060000005</v>
      </c>
      <c r="K30" s="110">
        <v>448202.95400967682</v>
      </c>
      <c r="L30" s="110">
        <v>258868.86680967681</v>
      </c>
      <c r="M30" s="110"/>
      <c r="N30" s="110"/>
      <c r="O30" s="109"/>
      <c r="P30" s="109">
        <v>-9534.0175700000018</v>
      </c>
      <c r="Q30" s="110">
        <v>-28910.993563659646</v>
      </c>
      <c r="R30" s="110">
        <v>-44284.776793659643</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-196636.79739999998</v>
      </c>
      <c r="AT30" s="113">
        <v>59319.869409999999</v>
      </c>
      <c r="AU30" s="113"/>
      <c r="AV30" s="113"/>
      <c r="AW30" s="318"/>
    </row>
    <row r="31" spans="1:49" x14ac:dyDescent="0.2">
      <c r="B31" s="158" t="s">
        <v>248</v>
      </c>
      <c r="C31" s="62"/>
      <c r="D31" s="109">
        <v>5991683.3200000003</v>
      </c>
      <c r="E31" s="110">
        <v>4763266.3724620175</v>
      </c>
      <c r="F31" s="110">
        <v>285813.31246201647</v>
      </c>
      <c r="G31" s="110"/>
      <c r="H31" s="110"/>
      <c r="I31" s="109">
        <v>4060458</v>
      </c>
      <c r="J31" s="109">
        <v>2140056.9234000002</v>
      </c>
      <c r="K31" s="110">
        <v>3418394.0862146243</v>
      </c>
      <c r="L31" s="110">
        <v>1278337.1628146239</v>
      </c>
      <c r="M31" s="110"/>
      <c r="N31" s="110"/>
      <c r="O31" s="109"/>
      <c r="P31" s="109">
        <v>546474.3091999999</v>
      </c>
      <c r="Q31" s="110">
        <v>743457.40907348308</v>
      </c>
      <c r="R31" s="110">
        <v>196983.09987348318</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3973.19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12482489.510481782</v>
      </c>
      <c r="F34" s="110">
        <v>458979.35048178298</v>
      </c>
      <c r="G34" s="110"/>
      <c r="H34" s="110"/>
      <c r="I34" s="109">
        <v>9085382</v>
      </c>
      <c r="J34" s="109"/>
      <c r="K34" s="110">
        <v>6215605.1007105503</v>
      </c>
      <c r="L34" s="110">
        <v>975187.55071055098</v>
      </c>
      <c r="M34" s="110"/>
      <c r="N34" s="110"/>
      <c r="O34" s="109"/>
      <c r="P34" s="109"/>
      <c r="Q34" s="110">
        <v>1786258.6444424188</v>
      </c>
      <c r="R34" s="110">
        <v>171128.05444241865</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549620.57000000007</v>
      </c>
      <c r="E35" s="110">
        <v>22737341.071902666</v>
      </c>
      <c r="F35" s="110">
        <v>45368.131902668632</v>
      </c>
      <c r="G35" s="110"/>
      <c r="H35" s="110"/>
      <c r="I35" s="109">
        <v>22606113</v>
      </c>
      <c r="J35" s="109">
        <v>195236.55999999997</v>
      </c>
      <c r="K35" s="110">
        <v>257155.21755587994</v>
      </c>
      <c r="L35" s="110">
        <v>40166.547555879952</v>
      </c>
      <c r="M35" s="110"/>
      <c r="N35" s="110"/>
      <c r="O35" s="109"/>
      <c r="P35" s="109">
        <v>69280.58</v>
      </c>
      <c r="Q35" s="110">
        <v>74967.661405383595</v>
      </c>
      <c r="R35" s="110">
        <v>5630.3814053836022</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179569.40000000002</v>
      </c>
      <c r="AT35" s="113">
        <v>17368.38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2515840</v>
      </c>
      <c r="E37" s="118">
        <v>2542028.3199999998</v>
      </c>
      <c r="F37" s="118">
        <v>26193.710000000003</v>
      </c>
      <c r="G37" s="118"/>
      <c r="H37" s="118"/>
      <c r="I37" s="117">
        <v>2011199</v>
      </c>
      <c r="J37" s="117">
        <v>1691197</v>
      </c>
      <c r="K37" s="118">
        <v>1846756.6999999997</v>
      </c>
      <c r="L37" s="118">
        <v>155565.44</v>
      </c>
      <c r="M37" s="118"/>
      <c r="N37" s="118"/>
      <c r="O37" s="117"/>
      <c r="P37" s="117">
        <v>480676</v>
      </c>
      <c r="Q37" s="118">
        <v>504598.60000000003</v>
      </c>
      <c r="R37" s="118">
        <v>23924.140000000003</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2647509</v>
      </c>
      <c r="AT37" s="119">
        <v>100</v>
      </c>
      <c r="AU37" s="119"/>
      <c r="AV37" s="119"/>
      <c r="AW37" s="317"/>
    </row>
    <row r="38" spans="1:49" x14ac:dyDescent="0.2">
      <c r="B38" s="155" t="s">
        <v>255</v>
      </c>
      <c r="C38" s="62" t="s">
        <v>16</v>
      </c>
      <c r="D38" s="109">
        <v>469334</v>
      </c>
      <c r="E38" s="110">
        <v>482781.94999999995</v>
      </c>
      <c r="F38" s="110">
        <v>13449.99</v>
      </c>
      <c r="G38" s="110"/>
      <c r="H38" s="110"/>
      <c r="I38" s="109">
        <v>381185</v>
      </c>
      <c r="J38" s="109">
        <v>571708</v>
      </c>
      <c r="K38" s="110">
        <v>683260.94</v>
      </c>
      <c r="L38" s="110">
        <v>111556.12999999999</v>
      </c>
      <c r="M38" s="110"/>
      <c r="N38" s="110"/>
      <c r="O38" s="109"/>
      <c r="P38" s="109">
        <v>166561</v>
      </c>
      <c r="Q38" s="110">
        <v>183622.79000000004</v>
      </c>
      <c r="R38" s="110">
        <v>17063.329999999998</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1132032</v>
      </c>
      <c r="AT38" s="113">
        <v>14</v>
      </c>
      <c r="AU38" s="113"/>
      <c r="AV38" s="113"/>
      <c r="AW38" s="318"/>
    </row>
    <row r="39" spans="1:49" x14ac:dyDescent="0.2">
      <c r="B39" s="158" t="s">
        <v>256</v>
      </c>
      <c r="C39" s="62" t="s">
        <v>17</v>
      </c>
      <c r="D39" s="109">
        <v>872215</v>
      </c>
      <c r="E39" s="110">
        <v>877304.68999999971</v>
      </c>
      <c r="F39" s="110">
        <v>5090.1500000000005</v>
      </c>
      <c r="G39" s="110"/>
      <c r="H39" s="110"/>
      <c r="I39" s="109">
        <v>675577</v>
      </c>
      <c r="J39" s="109">
        <v>545187</v>
      </c>
      <c r="K39" s="110">
        <v>570132.12</v>
      </c>
      <c r="L39" s="110">
        <v>24946.170000000002</v>
      </c>
      <c r="M39" s="110"/>
      <c r="N39" s="110"/>
      <c r="O39" s="109"/>
      <c r="P39" s="109">
        <v>165159</v>
      </c>
      <c r="Q39" s="110">
        <v>169034.65</v>
      </c>
      <c r="R39" s="110">
        <v>3875.87</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699292</v>
      </c>
      <c r="AT39" s="113"/>
      <c r="AU39" s="113"/>
      <c r="AV39" s="113"/>
      <c r="AW39" s="318"/>
    </row>
    <row r="40" spans="1:49" x14ac:dyDescent="0.2">
      <c r="B40" s="158" t="s">
        <v>257</v>
      </c>
      <c r="C40" s="62" t="s">
        <v>38</v>
      </c>
      <c r="D40" s="109">
        <v>5421876</v>
      </c>
      <c r="E40" s="110">
        <v>5428400.6300000008</v>
      </c>
      <c r="F40" s="110">
        <v>6525.3900000000012</v>
      </c>
      <c r="G40" s="110"/>
      <c r="H40" s="110"/>
      <c r="I40" s="109">
        <v>4465314</v>
      </c>
      <c r="J40" s="109">
        <v>4753465</v>
      </c>
      <c r="K40" s="110">
        <v>4841722.7399999984</v>
      </c>
      <c r="L40" s="110">
        <v>88259.809999999983</v>
      </c>
      <c r="M40" s="110"/>
      <c r="N40" s="110"/>
      <c r="O40" s="109"/>
      <c r="P40" s="109">
        <v>1452500</v>
      </c>
      <c r="Q40" s="110">
        <v>1466046.34</v>
      </c>
      <c r="R40" s="110">
        <v>13546.840000000002</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2492673</v>
      </c>
      <c r="AT40" s="113">
        <v>2258</v>
      </c>
      <c r="AU40" s="113"/>
      <c r="AV40" s="113"/>
      <c r="AW40" s="318"/>
    </row>
    <row r="41" spans="1:49" s="5" customFormat="1" ht="25.5" x14ac:dyDescent="0.2">
      <c r="A41" s="35"/>
      <c r="B41" s="158" t="s">
        <v>258</v>
      </c>
      <c r="C41" s="62" t="s">
        <v>129</v>
      </c>
      <c r="D41" s="109">
        <v>733125</v>
      </c>
      <c r="E41" s="110">
        <v>767881.55</v>
      </c>
      <c r="F41" s="110">
        <v>34759.509999999995</v>
      </c>
      <c r="G41" s="110"/>
      <c r="H41" s="110"/>
      <c r="I41" s="109">
        <v>496103</v>
      </c>
      <c r="J41" s="109">
        <v>369925</v>
      </c>
      <c r="K41" s="110">
        <v>442763</v>
      </c>
      <c r="L41" s="110">
        <v>72839.23000000001</v>
      </c>
      <c r="M41" s="110"/>
      <c r="N41" s="110"/>
      <c r="O41" s="109"/>
      <c r="P41" s="109">
        <v>112191</v>
      </c>
      <c r="Q41" s="110">
        <v>123879.98999999998</v>
      </c>
      <c r="R41" s="110">
        <v>11689.160000000002</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227526</v>
      </c>
      <c r="AT41" s="113">
        <v>14356</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9297211</v>
      </c>
      <c r="E44" s="118">
        <v>9484800.8762615174</v>
      </c>
      <c r="F44" s="118">
        <v>187589.87626151822</v>
      </c>
      <c r="G44" s="118"/>
      <c r="H44" s="118"/>
      <c r="I44" s="117">
        <v>7543457</v>
      </c>
      <c r="J44" s="117">
        <v>5375384</v>
      </c>
      <c r="K44" s="118">
        <v>5655873.7605137117</v>
      </c>
      <c r="L44" s="118">
        <v>280489.76051371126</v>
      </c>
      <c r="M44" s="118"/>
      <c r="N44" s="118"/>
      <c r="O44" s="117"/>
      <c r="P44" s="117">
        <v>1934805</v>
      </c>
      <c r="Q44" s="118">
        <v>1988989.2857142857</v>
      </c>
      <c r="R44" s="118">
        <v>54184.28571428571</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2855753</v>
      </c>
      <c r="AT44" s="119">
        <v>66753</v>
      </c>
      <c r="AU44" s="119"/>
      <c r="AV44" s="119"/>
      <c r="AW44" s="317"/>
    </row>
    <row r="45" spans="1:49" x14ac:dyDescent="0.2">
      <c r="B45" s="161" t="s">
        <v>262</v>
      </c>
      <c r="C45" s="62" t="s">
        <v>19</v>
      </c>
      <c r="D45" s="109">
        <v>9120459</v>
      </c>
      <c r="E45" s="110">
        <v>9371144.0996050891</v>
      </c>
      <c r="F45" s="110">
        <v>250685.09960508996</v>
      </c>
      <c r="G45" s="110"/>
      <c r="H45" s="110"/>
      <c r="I45" s="109">
        <v>7497309</v>
      </c>
      <c r="J45" s="109">
        <v>2158946</v>
      </c>
      <c r="K45" s="110">
        <v>2263133.122776797</v>
      </c>
      <c r="L45" s="110">
        <v>104187.12277679685</v>
      </c>
      <c r="M45" s="110"/>
      <c r="N45" s="110"/>
      <c r="O45" s="109"/>
      <c r="P45" s="109">
        <v>863159</v>
      </c>
      <c r="Q45" s="110">
        <v>874667.79201680678</v>
      </c>
      <c r="R45" s="110">
        <v>11508.792016806723</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1691783</v>
      </c>
      <c r="AT45" s="113">
        <v>91839</v>
      </c>
      <c r="AU45" s="113"/>
      <c r="AV45" s="113"/>
      <c r="AW45" s="318"/>
    </row>
    <row r="46" spans="1:49" x14ac:dyDescent="0.2">
      <c r="B46" s="161" t="s">
        <v>263</v>
      </c>
      <c r="C46" s="62" t="s">
        <v>20</v>
      </c>
      <c r="D46" s="109">
        <v>8556570</v>
      </c>
      <c r="E46" s="110">
        <v>8831092.5736516509</v>
      </c>
      <c r="F46" s="110">
        <v>274522.57365165104</v>
      </c>
      <c r="G46" s="110"/>
      <c r="H46" s="110"/>
      <c r="I46" s="109">
        <v>6990650</v>
      </c>
      <c r="J46" s="109">
        <v>1888383</v>
      </c>
      <c r="K46" s="110">
        <v>2249616.2925799922</v>
      </c>
      <c r="L46" s="110">
        <v>361233.29257999221</v>
      </c>
      <c r="M46" s="110"/>
      <c r="N46" s="110"/>
      <c r="O46" s="109"/>
      <c r="P46" s="109">
        <v>697235</v>
      </c>
      <c r="Q46" s="110">
        <v>758436.26750700281</v>
      </c>
      <c r="R46" s="110">
        <v>61201.267507002791</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3748172</v>
      </c>
      <c r="AT46" s="113">
        <v>332437</v>
      </c>
      <c r="AU46" s="113"/>
      <c r="AV46" s="113"/>
      <c r="AW46" s="318"/>
    </row>
    <row r="47" spans="1:49" x14ac:dyDescent="0.2">
      <c r="B47" s="161" t="s">
        <v>264</v>
      </c>
      <c r="C47" s="62" t="s">
        <v>21</v>
      </c>
      <c r="D47" s="109">
        <v>32209263</v>
      </c>
      <c r="E47" s="110">
        <v>32641575.930652808</v>
      </c>
      <c r="F47" s="110">
        <v>432312.93065280671</v>
      </c>
      <c r="G47" s="110"/>
      <c r="H47" s="110"/>
      <c r="I47" s="109">
        <v>26163748</v>
      </c>
      <c r="J47" s="109">
        <v>21752466</v>
      </c>
      <c r="K47" s="110">
        <v>22179179.865265638</v>
      </c>
      <c r="L47" s="110">
        <v>426713.86526563595</v>
      </c>
      <c r="M47" s="110"/>
      <c r="N47" s="110"/>
      <c r="O47" s="109"/>
      <c r="P47" s="109">
        <v>4801269</v>
      </c>
      <c r="Q47" s="110">
        <v>4934504.0595238097</v>
      </c>
      <c r="R47" s="110">
        <v>133235.05952380953</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7650251</v>
      </c>
      <c r="AT47" s="113">
        <v>973487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2101871.4796000002</v>
      </c>
      <c r="E49" s="110">
        <v>53314.750026616552</v>
      </c>
      <c r="F49" s="110">
        <v>90842.300426616566</v>
      </c>
      <c r="G49" s="110"/>
      <c r="H49" s="110"/>
      <c r="I49" s="109">
        <v>-39757</v>
      </c>
      <c r="J49" s="109">
        <v>977895.16600000008</v>
      </c>
      <c r="K49" s="110">
        <v>73949.404002301948</v>
      </c>
      <c r="L49" s="110">
        <v>-231693.10539769803</v>
      </c>
      <c r="M49" s="110"/>
      <c r="N49" s="110"/>
      <c r="O49" s="109"/>
      <c r="P49" s="109">
        <v>304245.86837000004</v>
      </c>
      <c r="Q49" s="110">
        <v>83956.892162717078</v>
      </c>
      <c r="R49" s="110">
        <v>48376.054592717082</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797663.48739999998</v>
      </c>
      <c r="AT49" s="113">
        <v>439487.22059000004</v>
      </c>
      <c r="AU49" s="113"/>
      <c r="AV49" s="113"/>
      <c r="AW49" s="318"/>
    </row>
    <row r="50" spans="2:49" ht="25.5" x14ac:dyDescent="0.2">
      <c r="B50" s="155" t="s">
        <v>266</v>
      </c>
      <c r="C50" s="62"/>
      <c r="D50" s="109">
        <v>29673.540000000012</v>
      </c>
      <c r="E50" s="110">
        <v>31722.370194241368</v>
      </c>
      <c r="F50" s="110">
        <v>2048.8301942413582</v>
      </c>
      <c r="G50" s="110"/>
      <c r="H50" s="110"/>
      <c r="I50" s="109">
        <v>23433</v>
      </c>
      <c r="J50" s="109">
        <v>10869.130000000003</v>
      </c>
      <c r="K50" s="110">
        <v>12689.97090837317</v>
      </c>
      <c r="L50" s="110">
        <v>1820.8409083731683</v>
      </c>
      <c r="M50" s="110"/>
      <c r="N50" s="110"/>
      <c r="O50" s="109"/>
      <c r="P50" s="109">
        <v>3978.5700000000006</v>
      </c>
      <c r="Q50" s="110">
        <v>4266.1909033613447</v>
      </c>
      <c r="R50" s="110">
        <v>287.62090336134452</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10553.160000000003</v>
      </c>
      <c r="AT50" s="113">
        <v>833.19999999999993</v>
      </c>
      <c r="AU50" s="113"/>
      <c r="AV50" s="113"/>
      <c r="AW50" s="318"/>
    </row>
    <row r="51" spans="2:49" x14ac:dyDescent="0.2">
      <c r="B51" s="155" t="s">
        <v>267</v>
      </c>
      <c r="C51" s="62"/>
      <c r="D51" s="109">
        <v>56348199</v>
      </c>
      <c r="E51" s="110">
        <v>61082835.437182114</v>
      </c>
      <c r="F51" s="110">
        <v>4734636.4371821098</v>
      </c>
      <c r="G51" s="110"/>
      <c r="H51" s="110"/>
      <c r="I51" s="109">
        <v>46947349</v>
      </c>
      <c r="J51" s="109">
        <v>21105672</v>
      </c>
      <c r="K51" s="110">
        <v>24854986.578044776</v>
      </c>
      <c r="L51" s="110">
        <v>3749314.5780447773</v>
      </c>
      <c r="M51" s="110"/>
      <c r="N51" s="110"/>
      <c r="O51" s="109"/>
      <c r="P51" s="109">
        <v>7446324</v>
      </c>
      <c r="Q51" s="110">
        <v>8040619.031512605</v>
      </c>
      <c r="R51" s="110">
        <v>594295.03151260503</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17346955</v>
      </c>
      <c r="AT51" s="113">
        <v>2173330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181765</v>
      </c>
      <c r="E56" s="122">
        <v>176961</v>
      </c>
      <c r="F56" s="122"/>
      <c r="G56" s="122"/>
      <c r="H56" s="122"/>
      <c r="I56" s="121">
        <v>154833</v>
      </c>
      <c r="J56" s="121">
        <v>68048</v>
      </c>
      <c r="K56" s="122">
        <v>62152</v>
      </c>
      <c r="L56" s="122"/>
      <c r="M56" s="122"/>
      <c r="N56" s="122"/>
      <c r="O56" s="121"/>
      <c r="P56" s="121">
        <v>17430</v>
      </c>
      <c r="Q56" s="122">
        <v>17335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28053</v>
      </c>
      <c r="AT56" s="123">
        <v>34422</v>
      </c>
      <c r="AU56" s="123"/>
      <c r="AV56" s="123"/>
      <c r="AW56" s="309"/>
    </row>
    <row r="57" spans="2:49" x14ac:dyDescent="0.2">
      <c r="B57" s="161" t="s">
        <v>273</v>
      </c>
      <c r="C57" s="62" t="s">
        <v>25</v>
      </c>
      <c r="D57" s="124">
        <v>274369</v>
      </c>
      <c r="E57" s="125">
        <v>274850</v>
      </c>
      <c r="F57" s="125">
        <v>8672</v>
      </c>
      <c r="G57" s="125"/>
      <c r="H57" s="125"/>
      <c r="I57" s="124">
        <v>231171</v>
      </c>
      <c r="J57" s="124">
        <v>104772</v>
      </c>
      <c r="K57" s="125">
        <v>108726</v>
      </c>
      <c r="L57" s="125">
        <v>18874</v>
      </c>
      <c r="M57" s="125"/>
      <c r="N57" s="125"/>
      <c r="O57" s="124"/>
      <c r="P57" s="124">
        <v>27359</v>
      </c>
      <c r="Q57" s="125">
        <v>30509</v>
      </c>
      <c r="R57" s="125">
        <v>2921</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36827</v>
      </c>
      <c r="AT57" s="126">
        <v>53137</v>
      </c>
      <c r="AU57" s="126"/>
      <c r="AV57" s="126"/>
      <c r="AW57" s="310"/>
    </row>
    <row r="58" spans="2:49" x14ac:dyDescent="0.2">
      <c r="B58" s="161" t="s">
        <v>274</v>
      </c>
      <c r="C58" s="62" t="s">
        <v>26</v>
      </c>
      <c r="D58" s="330"/>
      <c r="E58" s="331"/>
      <c r="F58" s="331"/>
      <c r="G58" s="331"/>
      <c r="H58" s="331"/>
      <c r="I58" s="330"/>
      <c r="J58" s="124">
        <v>6357</v>
      </c>
      <c r="K58" s="125">
        <v>6357</v>
      </c>
      <c r="L58" s="125"/>
      <c r="M58" s="125"/>
      <c r="N58" s="125"/>
      <c r="O58" s="124"/>
      <c r="P58" s="124">
        <v>123</v>
      </c>
      <c r="Q58" s="125">
        <v>123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v>221</v>
      </c>
      <c r="AU58" s="126"/>
      <c r="AV58" s="126"/>
      <c r="AW58" s="310"/>
    </row>
    <row r="59" spans="2:49" x14ac:dyDescent="0.2">
      <c r="B59" s="161" t="s">
        <v>275</v>
      </c>
      <c r="C59" s="62" t="s">
        <v>27</v>
      </c>
      <c r="D59" s="124">
        <v>2912838</v>
      </c>
      <c r="E59" s="125">
        <v>2871577</v>
      </c>
      <c r="F59" s="125">
        <v>133266</v>
      </c>
      <c r="G59" s="125"/>
      <c r="H59" s="125"/>
      <c r="I59" s="124">
        <v>2270103</v>
      </c>
      <c r="J59" s="124">
        <v>1196310</v>
      </c>
      <c r="K59" s="125">
        <v>1208242</v>
      </c>
      <c r="L59" s="125">
        <v>200641</v>
      </c>
      <c r="M59" s="125"/>
      <c r="N59" s="125"/>
      <c r="O59" s="124"/>
      <c r="P59" s="124">
        <v>334286</v>
      </c>
      <c r="Q59" s="125">
        <v>366961</v>
      </c>
      <c r="R59" s="125">
        <v>36315</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419328</v>
      </c>
      <c r="AT59" s="126">
        <v>578530</v>
      </c>
      <c r="AU59" s="126"/>
      <c r="AV59" s="126"/>
      <c r="AW59" s="310"/>
    </row>
    <row r="60" spans="2:49" x14ac:dyDescent="0.2">
      <c r="B60" s="161" t="s">
        <v>276</v>
      </c>
      <c r="C60" s="62"/>
      <c r="D60" s="127">
        <f t="shared" ref="D60:AC60" si="0">D$59/12</f>
        <v>242736.5</v>
      </c>
      <c r="E60" s="128">
        <f t="shared" si="0"/>
        <v>239298.08333333334</v>
      </c>
      <c r="F60" s="128">
        <f t="shared" si="0"/>
        <v>11105.5</v>
      </c>
      <c r="G60" s="128">
        <f t="shared" si="0"/>
        <v>0</v>
      </c>
      <c r="H60" s="128">
        <f t="shared" si="0"/>
        <v>0</v>
      </c>
      <c r="I60" s="127">
        <f t="shared" si="0"/>
        <v>189175.25</v>
      </c>
      <c r="J60" s="127">
        <f t="shared" si="0"/>
        <v>99692.5</v>
      </c>
      <c r="K60" s="128">
        <f t="shared" si="0"/>
        <v>100686.83333333333</v>
      </c>
      <c r="L60" s="128">
        <f t="shared" si="0"/>
        <v>16720.083333333332</v>
      </c>
      <c r="M60" s="128">
        <f t="shared" si="0"/>
        <v>0</v>
      </c>
      <c r="N60" s="128">
        <f t="shared" si="0"/>
        <v>0</v>
      </c>
      <c r="O60" s="127">
        <f t="shared" si="0"/>
        <v>0</v>
      </c>
      <c r="P60" s="127">
        <f t="shared" si="0"/>
        <v>27857.166666666668</v>
      </c>
      <c r="Q60" s="128">
        <f t="shared" si="0"/>
        <v>30580.083333333332</v>
      </c>
      <c r="R60" s="128">
        <f t="shared" si="0"/>
        <v>3026.25</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34944</v>
      </c>
      <c r="AT60" s="129">
        <f t="shared" si="1"/>
        <v>48210.833333333336</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4933403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1854487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H25" activePane="bottomRight" state="frozen"/>
      <selection activeCell="B1" sqref="B1"/>
      <selection pane="topRight" activeCell="B1" sqref="B1"/>
      <selection pane="bottomLeft" activeCell="B1" sqref="B1"/>
      <selection pane="bottomRight" activeCell="Q54" sqref="Q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806239816</v>
      </c>
      <c r="E5" s="118">
        <v>816862196.82343757</v>
      </c>
      <c r="F5" s="118">
        <v>31180075.560000002</v>
      </c>
      <c r="G5" s="130"/>
      <c r="H5" s="130"/>
      <c r="I5" s="117">
        <v>727175810</v>
      </c>
      <c r="J5" s="117">
        <v>371212683</v>
      </c>
      <c r="K5" s="118">
        <v>436176867.99032354</v>
      </c>
      <c r="L5" s="118">
        <v>72349049.109999999</v>
      </c>
      <c r="M5" s="118"/>
      <c r="N5" s="118"/>
      <c r="O5" s="117"/>
      <c r="P5" s="117">
        <v>114806697</v>
      </c>
      <c r="Q5" s="118">
        <v>136749375.4750742</v>
      </c>
      <c r="R5" s="118">
        <v>13292779.699999997</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306702006</v>
      </c>
      <c r="AT5" s="119">
        <v>9458540</v>
      </c>
      <c r="AU5" s="119"/>
      <c r="AV5" s="312"/>
      <c r="AW5" s="317"/>
    </row>
    <row r="6" spans="2:49" x14ac:dyDescent="0.2">
      <c r="B6" s="176" t="s">
        <v>279</v>
      </c>
      <c r="C6" s="133" t="s">
        <v>8</v>
      </c>
      <c r="D6" s="109">
        <v>106183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66250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289578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25636.290000018664</v>
      </c>
      <c r="K9" s="288"/>
      <c r="L9" s="288"/>
      <c r="M9" s="288"/>
      <c r="N9" s="288"/>
      <c r="O9" s="292"/>
      <c r="P9" s="109">
        <v>-25635.920000002603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-25944202</v>
      </c>
      <c r="E11" s="110"/>
      <c r="F11" s="110"/>
      <c r="G11" s="110"/>
      <c r="H11" s="110"/>
      <c r="I11" s="109"/>
      <c r="J11" s="109">
        <v>-0.19999999785795808</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-3278222</v>
      </c>
      <c r="AT11" s="113"/>
      <c r="AU11" s="113"/>
      <c r="AV11" s="311"/>
      <c r="AW11" s="318"/>
    </row>
    <row r="12" spans="2:49" x14ac:dyDescent="0.2">
      <c r="B12" s="176" t="s">
        <v>283</v>
      </c>
      <c r="C12" s="133" t="s">
        <v>44</v>
      </c>
      <c r="D12" s="109"/>
      <c r="E12" s="289"/>
      <c r="F12" s="289"/>
      <c r="G12" s="289"/>
      <c r="H12" s="289"/>
      <c r="I12" s="293"/>
      <c r="J12" s="109">
        <v>0.20000001695007086</v>
      </c>
      <c r="K12" s="289"/>
      <c r="L12" s="289"/>
      <c r="M12" s="289"/>
      <c r="N12" s="289"/>
      <c r="O12" s="293"/>
      <c r="P12" s="109">
        <v>6.9999998211642378E-2</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-2989834</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194926953.75999981</v>
      </c>
      <c r="F15" s="110"/>
      <c r="G15" s="110"/>
      <c r="H15" s="110"/>
      <c r="I15" s="109">
        <v>194926954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64808.72</v>
      </c>
      <c r="F16" s="110"/>
      <c r="G16" s="110"/>
      <c r="H16" s="110"/>
      <c r="I16" s="109">
        <v>64809</v>
      </c>
      <c r="J16" s="109"/>
      <c r="K16" s="110">
        <v>-6158.42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83361309</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v>481939810.85000002</v>
      </c>
      <c r="F20" s="110"/>
      <c r="G20" s="110"/>
      <c r="H20" s="110"/>
      <c r="I20" s="109">
        <v>481939811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784558747</v>
      </c>
      <c r="E23" s="288"/>
      <c r="F23" s="288"/>
      <c r="G23" s="288"/>
      <c r="H23" s="288"/>
      <c r="I23" s="292"/>
      <c r="J23" s="109">
        <v>288911841</v>
      </c>
      <c r="K23" s="288"/>
      <c r="L23" s="288"/>
      <c r="M23" s="288"/>
      <c r="N23" s="288"/>
      <c r="O23" s="292"/>
      <c r="P23" s="109">
        <v>93079723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265526130</v>
      </c>
      <c r="AT23" s="113">
        <v>2837227</v>
      </c>
      <c r="AU23" s="113"/>
      <c r="AV23" s="311"/>
      <c r="AW23" s="318"/>
    </row>
    <row r="24" spans="2:49" ht="28.5" customHeight="1" x14ac:dyDescent="0.2">
      <c r="B24" s="178" t="s">
        <v>114</v>
      </c>
      <c r="C24" s="133"/>
      <c r="D24" s="293"/>
      <c r="E24" s="110">
        <v>1018384842.9610002</v>
      </c>
      <c r="F24" s="110">
        <v>9271905.9300000016</v>
      </c>
      <c r="G24" s="110"/>
      <c r="H24" s="110"/>
      <c r="I24" s="109">
        <v>947596046</v>
      </c>
      <c r="J24" s="293"/>
      <c r="K24" s="110">
        <v>348680443.32999992</v>
      </c>
      <c r="L24" s="110">
        <v>54645909.640000001</v>
      </c>
      <c r="M24" s="110"/>
      <c r="N24" s="110"/>
      <c r="O24" s="109"/>
      <c r="P24" s="293"/>
      <c r="Q24" s="110">
        <v>115787999.85000001</v>
      </c>
      <c r="R24" s="110">
        <v>13443348.030000001</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108509632</v>
      </c>
      <c r="E26" s="288"/>
      <c r="F26" s="288"/>
      <c r="G26" s="288"/>
      <c r="H26" s="288"/>
      <c r="I26" s="292"/>
      <c r="J26" s="109">
        <v>26103313</v>
      </c>
      <c r="K26" s="288"/>
      <c r="L26" s="288"/>
      <c r="M26" s="288"/>
      <c r="N26" s="288"/>
      <c r="O26" s="292"/>
      <c r="P26" s="109">
        <v>9345822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31101922</v>
      </c>
      <c r="AT26" s="113">
        <v>144280</v>
      </c>
      <c r="AU26" s="113"/>
      <c r="AV26" s="311"/>
      <c r="AW26" s="318"/>
    </row>
    <row r="27" spans="2:49" s="5" customFormat="1" ht="25.5" x14ac:dyDescent="0.2">
      <c r="B27" s="178" t="s">
        <v>85</v>
      </c>
      <c r="C27" s="133"/>
      <c r="D27" s="293"/>
      <c r="E27" s="110">
        <v>22929005.630499996</v>
      </c>
      <c r="F27" s="110">
        <v>28698252.170000002</v>
      </c>
      <c r="G27" s="110"/>
      <c r="H27" s="110"/>
      <c r="I27" s="109">
        <v>20890859</v>
      </c>
      <c r="J27" s="293"/>
      <c r="K27" s="110">
        <v>5751257.6703191176</v>
      </c>
      <c r="L27" s="110">
        <v>1681856.1514999999</v>
      </c>
      <c r="M27" s="110"/>
      <c r="N27" s="110"/>
      <c r="O27" s="109"/>
      <c r="P27" s="293"/>
      <c r="Q27" s="110">
        <v>1501944.2594808948</v>
      </c>
      <c r="R27" s="110">
        <v>387193.95380000008</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6763825</v>
      </c>
      <c r="E28" s="289"/>
      <c r="F28" s="289"/>
      <c r="G28" s="289"/>
      <c r="H28" s="289"/>
      <c r="I28" s="293"/>
      <c r="J28" s="109">
        <v>17645680</v>
      </c>
      <c r="K28" s="289"/>
      <c r="L28" s="289"/>
      <c r="M28" s="289"/>
      <c r="N28" s="289"/>
      <c r="O28" s="293"/>
      <c r="P28" s="109">
        <v>7541071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17893559</v>
      </c>
      <c r="AT28" s="113">
        <v>56577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115439</v>
      </c>
      <c r="K30" s="288"/>
      <c r="L30" s="288"/>
      <c r="M30" s="288"/>
      <c r="N30" s="288"/>
      <c r="O30" s="292"/>
      <c r="P30" s="109">
        <v>10561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115438.64</v>
      </c>
      <c r="L31" s="110"/>
      <c r="M31" s="110"/>
      <c r="N31" s="110"/>
      <c r="O31" s="109"/>
      <c r="P31" s="293"/>
      <c r="Q31" s="110">
        <v>-69438.64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80000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24367326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24367326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23250019</v>
      </c>
      <c r="E36" s="110">
        <v>23250019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4248742</v>
      </c>
      <c r="K38" s="288"/>
      <c r="L38" s="288"/>
      <c r="M38" s="288"/>
      <c r="N38" s="288"/>
      <c r="O38" s="292"/>
      <c r="P38" s="109">
        <v>25636</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301202</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-25944202</v>
      </c>
      <c r="E41" s="288"/>
      <c r="F41" s="288"/>
      <c r="G41" s="288"/>
      <c r="H41" s="288"/>
      <c r="I41" s="292"/>
      <c r="J41" s="109">
        <v>2754556</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-3278222</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6828643</v>
      </c>
      <c r="K43" s="289"/>
      <c r="L43" s="289"/>
      <c r="M43" s="289"/>
      <c r="N43" s="289"/>
      <c r="O43" s="293"/>
      <c r="P43" s="109">
        <v>2010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-2989834</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855076</v>
      </c>
      <c r="E49" s="110">
        <v>5139428</v>
      </c>
      <c r="F49" s="110"/>
      <c r="G49" s="110"/>
      <c r="H49" s="110"/>
      <c r="I49" s="109">
        <v>4302039</v>
      </c>
      <c r="J49" s="109">
        <v>2725004</v>
      </c>
      <c r="K49" s="110">
        <v>7543042.8624847466</v>
      </c>
      <c r="L49" s="110"/>
      <c r="M49" s="110"/>
      <c r="N49" s="110"/>
      <c r="O49" s="109"/>
      <c r="P49" s="109">
        <v>222943</v>
      </c>
      <c r="Q49" s="110">
        <v>2154207.5775152533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2784765</v>
      </c>
      <c r="AT49" s="113"/>
      <c r="AU49" s="113"/>
      <c r="AV49" s="311"/>
      <c r="AW49" s="318"/>
    </row>
    <row r="50" spans="2:49" x14ac:dyDescent="0.2">
      <c r="B50" s="176" t="s">
        <v>119</v>
      </c>
      <c r="C50" s="133" t="s">
        <v>34</v>
      </c>
      <c r="D50" s="109">
        <v>133392</v>
      </c>
      <c r="E50" s="289"/>
      <c r="F50" s="289"/>
      <c r="G50" s="289"/>
      <c r="H50" s="289"/>
      <c r="I50" s="293"/>
      <c r="J50" s="109">
        <v>790799</v>
      </c>
      <c r="K50" s="289"/>
      <c r="L50" s="289"/>
      <c r="M50" s="289"/>
      <c r="N50" s="289"/>
      <c r="O50" s="293"/>
      <c r="P50" s="109">
        <v>681905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1283590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353010</v>
      </c>
      <c r="L53" s="110">
        <v>1898880</v>
      </c>
      <c r="M53" s="110"/>
      <c r="N53" s="110"/>
      <c r="O53" s="109"/>
      <c r="P53" s="109"/>
      <c r="Q53" s="110">
        <v>169703</v>
      </c>
      <c r="R53" s="110">
        <v>-2751465</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860755975</v>
      </c>
      <c r="E54" s="115">
        <f>E24+E27+E31+E35-E36+E39+E42+E45+E46-E49+E51+E52+E53</f>
        <v>1037291727.5915002</v>
      </c>
      <c r="F54" s="115">
        <f>F24+F27+F31+F35-F36+F39+F42+F45+F46-F49+F51+F52+F53</f>
        <v>37970158.100000001</v>
      </c>
      <c r="G54" s="115">
        <f>G24+G27+G31+G35-G36+G39+G42+G45+G46-G49+G51+G52+G53</f>
        <v>0</v>
      </c>
      <c r="H54" s="115">
        <f>H24+H27+H31+H35-H36+H39+H42+H45+H46-H49+H51+H52+H53</f>
        <v>0</v>
      </c>
      <c r="I54" s="114">
        <f>I24+I27+I31+I35-I36+I39+I42+I45+I46-I49+I51+I52+I53</f>
        <v>964184866</v>
      </c>
      <c r="J54" s="114">
        <f>J23+J26-J28+J30-J32+J34-J36+J38+J41-J43+J45+J46-J47-J49+J50+J51+J52+J53</f>
        <v>295645363</v>
      </c>
      <c r="K54" s="115">
        <f>K24+K27+K31+K35-K36+K39+K42+K45+K46-K49+K51+K52+K53</f>
        <v>347357106.7778343</v>
      </c>
      <c r="L54" s="115">
        <f>L24+L27+L31+L35-L36+L39+L42+L45+L46-L49+L51+L52+L53</f>
        <v>58226645.791500002</v>
      </c>
      <c r="M54" s="115">
        <f>M24+M27+M31+M35-M36+M39+M42+M45+M46-M49+M51+M52+M53</f>
        <v>0</v>
      </c>
      <c r="N54" s="115">
        <f>N24+N27+N31+N35-N36+N39+N42+N45+N46-N49+N51+N52+N53</f>
        <v>0</v>
      </c>
      <c r="O54" s="114">
        <f>O24+O27+O31+O35-O36+O39+O42+O45+O46-O49+O51+O52+O53</f>
        <v>0</v>
      </c>
      <c r="P54" s="114">
        <f>P23+P26-P28+P30-P32+P34-P36+P38+P41-P43+P45+P46-P47-P49+P50+P51+P52+P53</f>
        <v>95377623</v>
      </c>
      <c r="Q54" s="115">
        <f>Q24+Q27+Q31+Q35-Q36+Q39+Q42+Q45+Q46-Q49+Q51+Q52+Q53</f>
        <v>115236000.89196564</v>
      </c>
      <c r="R54" s="115">
        <f>R24+R27+R31+R35-R36+R39+R42+R45+R46-R49+R51+R52+R53</f>
        <v>11079076.983800001</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277246132</v>
      </c>
      <c r="AT54" s="116">
        <f>AT23+AT26-AT28+AT30-AT32+AT34-AT36+AT38+AT41-AT43+AT45+AT46-AT47-AT49+AT50+AT51+AT52+AT53</f>
        <v>2924930</v>
      </c>
      <c r="AU54" s="116">
        <f>AU23+AU26-AU28+AU30-AU32+AU34-AU36+AU38+AU41-AU43+AU45+AU46-AU47-AU49+AU50+AU51+AU52+AU53</f>
        <v>0</v>
      </c>
      <c r="AV54" s="311"/>
      <c r="AW54" s="318"/>
    </row>
    <row r="55" spans="2:49" ht="25.5" x14ac:dyDescent="0.2">
      <c r="B55" s="181" t="s">
        <v>304</v>
      </c>
      <c r="C55" s="137" t="s">
        <v>28</v>
      </c>
      <c r="D55" s="114">
        <f t="shared" ref="D55:AC55" si="0">MIN(MAX(0,D56),MAX(0,D57))</f>
        <v>475608</v>
      </c>
      <c r="E55" s="115">
        <f t="shared" si="0"/>
        <v>498463.43</v>
      </c>
      <c r="F55" s="115">
        <f t="shared" si="0"/>
        <v>0</v>
      </c>
      <c r="G55" s="115">
        <f t="shared" si="0"/>
        <v>0</v>
      </c>
      <c r="H55" s="115">
        <f t="shared" si="0"/>
        <v>0</v>
      </c>
      <c r="I55" s="114">
        <f t="shared" si="0"/>
        <v>230435</v>
      </c>
      <c r="J55" s="114">
        <f t="shared" si="0"/>
        <v>484004</v>
      </c>
      <c r="K55" s="115">
        <f t="shared" si="0"/>
        <v>486206.3</v>
      </c>
      <c r="L55" s="115">
        <f t="shared" si="0"/>
        <v>0</v>
      </c>
      <c r="M55" s="115">
        <f t="shared" si="0"/>
        <v>0</v>
      </c>
      <c r="N55" s="115">
        <f t="shared" si="0"/>
        <v>0</v>
      </c>
      <c r="O55" s="114">
        <f t="shared" si="0"/>
        <v>0</v>
      </c>
      <c r="P55" s="114">
        <f t="shared" si="0"/>
        <v>225444</v>
      </c>
      <c r="Q55" s="115">
        <f t="shared" si="0"/>
        <v>225786.25</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960273</v>
      </c>
      <c r="E56" s="110">
        <v>988602.05</v>
      </c>
      <c r="F56" s="110"/>
      <c r="G56" s="110"/>
      <c r="H56" s="110"/>
      <c r="I56" s="109">
        <v>774558</v>
      </c>
      <c r="J56" s="109">
        <v>484004</v>
      </c>
      <c r="K56" s="110">
        <v>486206.3</v>
      </c>
      <c r="L56" s="110"/>
      <c r="M56" s="110"/>
      <c r="N56" s="110"/>
      <c r="O56" s="109"/>
      <c r="P56" s="109">
        <v>225444</v>
      </c>
      <c r="Q56" s="110">
        <v>225786.25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475608</v>
      </c>
      <c r="E57" s="110">
        <v>498463.43</v>
      </c>
      <c r="F57" s="110"/>
      <c r="G57" s="110"/>
      <c r="H57" s="110"/>
      <c r="I57" s="109">
        <v>230435</v>
      </c>
      <c r="J57" s="109">
        <v>566344</v>
      </c>
      <c r="K57" s="110">
        <v>632479.74</v>
      </c>
      <c r="L57" s="110"/>
      <c r="M57" s="110"/>
      <c r="N57" s="110"/>
      <c r="O57" s="109"/>
      <c r="P57" s="109">
        <v>449266</v>
      </c>
      <c r="Q57" s="110">
        <v>458802.9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1728882</v>
      </c>
      <c r="AT57" s="113">
        <v>82</v>
      </c>
      <c r="AU57" s="113"/>
      <c r="AV57" s="113"/>
      <c r="AW57" s="318"/>
    </row>
    <row r="58" spans="2:49" s="5" customFormat="1" x14ac:dyDescent="0.2">
      <c r="B58" s="184" t="s">
        <v>485</v>
      </c>
      <c r="C58" s="185"/>
      <c r="D58" s="186"/>
      <c r="E58" s="187">
        <v>93786056.86999999</v>
      </c>
      <c r="F58" s="187"/>
      <c r="G58" s="187"/>
      <c r="H58" s="187"/>
      <c r="I58" s="186">
        <v>93786057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47633289.220000006</v>
      </c>
      <c r="D5" s="118">
        <v>75855245.995299995</v>
      </c>
      <c r="E5" s="346"/>
      <c r="F5" s="346"/>
      <c r="G5" s="312"/>
      <c r="H5" s="117">
        <v>186133231.83999997</v>
      </c>
      <c r="I5" s="118">
        <v>233271527.47952667</v>
      </c>
      <c r="J5" s="346"/>
      <c r="K5" s="346"/>
      <c r="L5" s="312"/>
      <c r="M5" s="117">
        <v>74408050.109999999</v>
      </c>
      <c r="N5" s="118">
        <v>99550074.534473404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50770133.174499974</v>
      </c>
      <c r="D6" s="110">
        <v>75709402.084700003</v>
      </c>
      <c r="E6" s="115">
        <f>SUM('Pt 1 Summary of Data'!E$12,'Pt 1 Summary of Data'!E$22)+SUM('Pt 1 Summary of Data'!G$12,'Pt 1 Summary of Data'!G$22)-SUM('Pt 1 Summary of Data'!H$12,'Pt 1 Summary of Data'!H$22)</f>
        <v>1037790191.0215001</v>
      </c>
      <c r="F6" s="115">
        <f t="shared" ref="F6:F11" si="0">SUM(C6:E6)</f>
        <v>1164269726.2807002</v>
      </c>
      <c r="G6" s="116">
        <f>SUM('Pt 1 Summary of Data'!I$12,'Pt 1 Summary of Data'!I$22)</f>
        <v>964415301</v>
      </c>
      <c r="H6" s="109">
        <v>186413317.95561653</v>
      </c>
      <c r="I6" s="110">
        <v>233894808.24660113</v>
      </c>
      <c r="J6" s="115">
        <f>SUM('Pt 1 Summary of Data'!K$12,'Pt 1 Summary of Data'!K$22)+SUM('Pt 1 Summary of Data'!M$12,'Pt 1 Summary of Data'!M$22)-SUM('Pt 1 Summary of Data'!N$12,'Pt 1 Summary of Data'!N$22)</f>
        <v>347843313.07783431</v>
      </c>
      <c r="K6" s="115">
        <f>SUM(H6:J6)</f>
        <v>768151439.28005195</v>
      </c>
      <c r="L6" s="116">
        <f>SUM('Pt 1 Summary of Data'!O$12,'Pt 1 Summary of Data'!O$22)</f>
        <v>0</v>
      </c>
      <c r="M6" s="109">
        <v>75479034.774383485</v>
      </c>
      <c r="N6" s="110">
        <v>100162210.12849896</v>
      </c>
      <c r="O6" s="115">
        <f>SUM('Pt 1 Summary of Data'!Q$12,'Pt 1 Summary of Data'!Q$22)+SUM('Pt 1 Summary of Data'!S$12,'Pt 1 Summary of Data'!S$22)-SUM('Pt 1 Summary of Data'!T$12,'Pt 1 Summary of Data'!T$22)</f>
        <v>115461787.14196564</v>
      </c>
      <c r="P6" s="115">
        <f>SUM(M6:O6)</f>
        <v>291103032.04484808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2244633.19</v>
      </c>
      <c r="D7" s="110">
        <v>2512857.0399999996</v>
      </c>
      <c r="E7" s="115">
        <f>SUM('Pt 1 Summary of Data'!E$37:E$41)+SUM('Pt 1 Summary of Data'!G$37:G$41)-SUM('Pt 1 Summary of Data'!H$37:H$41)+MAX(0,MIN('Pt 1 Summary of Data'!E$42+'Pt 1 Summary of Data'!G$42-'Pt 1 Summary of Data'!H$42,0.3%*('Pt 1 Summary of Data'!E$5+'Pt 1 Summary of Data'!G$5-'Pt 1 Summary of Data'!H$5-SUM(E$9:E$11))))</f>
        <v>10098397.140000001</v>
      </c>
      <c r="F7" s="115">
        <f t="shared" si="0"/>
        <v>14855887.370000001</v>
      </c>
      <c r="G7" s="116">
        <f>SUM('Pt 1 Summary of Data'!I$37:I$41)+MAX(0,MIN('Pt 1 Summary of Data'!I$42,0.3%*('Pt 1 Summary of Data'!I$5-SUM(G$9:G$10))))</f>
        <v>8029378</v>
      </c>
      <c r="H7" s="109">
        <v>6347894.4999999991</v>
      </c>
      <c r="I7" s="110">
        <v>6897949.21</v>
      </c>
      <c r="J7" s="115">
        <f>SUM('Pt 1 Summary of Data'!K$37:K$41)+SUM('Pt 1 Summary of Data'!M$37:M$41)-SUM('Pt 1 Summary of Data'!N$37:N$41)+MAX(0,MIN('Pt 1 Summary of Data'!K$42+'Pt 1 Summary of Data'!M$42-'Pt 1 Summary of Data'!N$42,0.3%*('Pt 1 Summary of Data'!K$5+'Pt 1 Summary of Data'!M$5-'Pt 1 Summary of Data'!N$5-SUM(J$10:J$11))))</f>
        <v>8384635.4999999981</v>
      </c>
      <c r="K7" s="115">
        <f>SUM(H7:J7)</f>
        <v>21630479.209999997</v>
      </c>
      <c r="L7" s="116">
        <f>SUM('Pt 1 Summary of Data'!O$37:O$41)+MAX(0,MIN('Pt 1 Summary of Data'!O$42,0.3%*('Pt 1 Summary of Data'!O$5-L$10)))</f>
        <v>0</v>
      </c>
      <c r="M7" s="109">
        <v>1905402.25</v>
      </c>
      <c r="N7" s="110">
        <v>2368971.4800000009</v>
      </c>
      <c r="O7" s="115">
        <f>SUM('Pt 1 Summary of Data'!Q$37:Q$41)+SUM('Pt 1 Summary of Data'!S$37:S$41)-SUM('Pt 1 Summary of Data'!T$37:T$41)+MAX(0,MIN('Pt 1 Summary of Data'!Q$42+'Pt 1 Summary of Data'!S$42-'Pt 1 Summary of Data'!T$42,0.3%*('Pt 1 Summary of Data'!Q$5+'Pt 1 Summary of Data'!S$5-'Pt 1 Summary of Data'!T$5)))</f>
        <v>2447182.37</v>
      </c>
      <c r="P7" s="115">
        <f>SUM(M7:O7)</f>
        <v>6721556.1000000006</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484</v>
      </c>
      <c r="C8" s="293"/>
      <c r="D8" s="289"/>
      <c r="E8" s="269">
        <v>93786056.86999999</v>
      </c>
      <c r="F8" s="269">
        <f t="shared" si="0"/>
        <v>93786056.86999999</v>
      </c>
      <c r="G8" s="270">
        <v>93786057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194926953.75999981</v>
      </c>
      <c r="F9" s="115">
        <f t="shared" si="0"/>
        <v>194926953.75999981</v>
      </c>
      <c r="G9" s="116">
        <f>'Pt 2 Premium and Claims'!I$15</f>
        <v>194926954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64808.72</v>
      </c>
      <c r="F10" s="115">
        <f t="shared" si="0"/>
        <v>64808.72</v>
      </c>
      <c r="G10" s="116">
        <f>'Pt 2 Premium and Claims'!I$16</f>
        <v>64809</v>
      </c>
      <c r="H10" s="292"/>
      <c r="I10" s="288"/>
      <c r="J10" s="115">
        <f>'Pt 2 Premium and Claims'!K$16+'Pt 2 Premium and Claims'!M$16-'Pt 2 Premium and Claims'!N$16</f>
        <v>-6158.42</v>
      </c>
      <c r="K10" s="115">
        <f>SUM(H10:J10)</f>
        <v>-6158.42</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f>'Pt 2 Premium and Claims'!E$17+'Pt 2 Premium and Claims'!G$17-'Pt 2 Premium and Claims'!H$17</f>
        <v>83361309</v>
      </c>
      <c r="F11" s="115">
        <f t="shared" si="0"/>
        <v>83361309</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53014766.364499971</v>
      </c>
      <c r="D12" s="115">
        <f>SUM(D$6:D$7)+IF(AND(OR('Company Information'!$C$12="District of Columbia",'Company Information'!$C$12="Massachusetts",'Company Information'!$C$12="Vermont"),SUM($C$6:$F$11,$C$15:$F$16,$C$37:$D$37)&lt;&gt;0),SUM(I$6:I$7),0)</f>
        <v>78222259.12470001</v>
      </c>
      <c r="E12" s="115">
        <f>SUM(E$6:E$7)-SUM(E$8:E$11)+IF(AND(OR('Company Information'!$C$12="District of Columbia",'Company Information'!$C$12="Massachusetts",'Company Information'!$C$12="Vermont"),SUM($C$6:$F$11,$C$15:$F$16,$C$37:$D$37)&lt;&gt;0),SUM(J$6:J$7)-SUM(J$10:J$11),0)</f>
        <v>675749459.81150031</v>
      </c>
      <c r="F12" s="115">
        <f>IFERROR(SUM(C$12:E$12)+C$17*MAX(0,E$49-C$49)+D$17*MAX(0,E$49-D$49),0)</f>
        <v>806986485.30070031</v>
      </c>
      <c r="G12" s="311"/>
      <c r="H12" s="114">
        <f>SUM(H$6:H$7)+IF(AND(OR('Company Information'!$C$12="District of Columbia",'Company Information'!$C$12="Massachusetts",'Company Information'!$C$12="Vermont"),SUM($H$6:$K$11,$H$15:$K$16,$H$37:$I$37)&lt;&gt;0),SUM(C$6:C$7),0)</f>
        <v>192761212.45561653</v>
      </c>
      <c r="I12" s="115">
        <f>SUM(I$6:I$7)+IF(AND(OR('Company Information'!$C$12="District of Columbia",'Company Information'!$C$12="Massachusetts",'Company Information'!$C$12="Vermont"),SUM($H$6:$K$11,$H$15:$K$16,$H$37:$I$37)&lt;&gt;0),SUM(D$6:D$7),0)</f>
        <v>240792757.45660114</v>
      </c>
      <c r="J12" s="115">
        <f>SUM(J$6:J$7)-SUM(J$10:J$11)+IF(AND(OR('Company Information'!$C$12="District of Columbia",'Company Information'!$C$12="Massachusetts",'Company Information'!$C$12="Vermont"),SUM($H$6:$K$11,$H$15:$K$16,$H$37:$I$37)&lt;&gt;0),SUM(E$6:E$7)-SUM(E$8:E$11),0)</f>
        <v>356234106.99783432</v>
      </c>
      <c r="K12" s="115">
        <f>IFERROR(SUM(H$12:J$12)+H$17*MAX(0,J$49-H$49)+I$17*MAX(0,J$49-I$49),0)</f>
        <v>789788076.91005206</v>
      </c>
      <c r="L12" s="311"/>
      <c r="M12" s="114">
        <f>SUM(M$6:M$7)</f>
        <v>77384437.024383485</v>
      </c>
      <c r="N12" s="115">
        <f>SUM(N$6:N$7)</f>
        <v>102531181.60849896</v>
      </c>
      <c r="O12" s="115">
        <f>SUM(O$6:O$7)</f>
        <v>117908969.51196565</v>
      </c>
      <c r="P12" s="115">
        <f>SUM(M$12:O$12)+M$17*MAX(0,O$49-M$49)+N$17*MAX(0,O$49-N$49)</f>
        <v>297824588.14484811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66267210.130000003</v>
      </c>
      <c r="D15" s="118">
        <v>90196482.474853739</v>
      </c>
      <c r="E15" s="106">
        <f>SUM('Pt 1 Summary of Data'!E$5:E$7)+SUM('Pt 1 Summary of Data'!G$5:G$7)-SUM('Pt 1 Summary of Data'!H$5:H$7)-SUM(E$9:E$11)+D$55</f>
        <v>817287602.64442432</v>
      </c>
      <c r="F15" s="106">
        <f>SUM(C15:E15)</f>
        <v>973751295.24927807</v>
      </c>
      <c r="G15" s="107">
        <f>SUM('Pt 1 Summary of Data'!I$5:I$7)-SUM(G$9:G$10)</f>
        <v>727175810</v>
      </c>
      <c r="H15" s="117">
        <v>262923102.68000001</v>
      </c>
      <c r="I15" s="118">
        <v>325508741.53983444</v>
      </c>
      <c r="J15" s="106">
        <f>SUM('Pt 1 Summary of Data'!K$5:K$7)+SUM('Pt 1 Summary of Data'!M$5:M$7)-SUM('Pt 1 Summary of Data'!N$5:N$7)-SUM(J$10:J$11)+I$55</f>
        <v>438419082.11376679</v>
      </c>
      <c r="K15" s="106">
        <f>SUM(H15:J15)</f>
        <v>1026850926.3336012</v>
      </c>
      <c r="L15" s="107">
        <f>SUM('Pt 1 Summary of Data'!O$5:O$7)-L$10</f>
        <v>0</v>
      </c>
      <c r="M15" s="117">
        <v>89515865.370000005</v>
      </c>
      <c r="N15" s="118">
        <v>120517144.48908953</v>
      </c>
      <c r="O15" s="106">
        <f>SUM('Pt 1 Summary of Data'!Q$5:Q$7)+SUM('Pt 1 Summary of Data'!S$5:S$7)-SUM('Pt 1 Summary of Data'!T$5:T$7)+N$55</f>
        <v>137316009.10691676</v>
      </c>
      <c r="P15" s="106">
        <f>SUM(M15:O15)</f>
        <v>347349018.96600628</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6811604.0399999991</v>
      </c>
      <c r="D16" s="110">
        <v>-2962269.966304529</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54776097.88835229</v>
      </c>
      <c r="F16" s="115">
        <f>SUM(C16:E16)</f>
        <v>58625431.962047763</v>
      </c>
      <c r="G16" s="116">
        <f>SUM('Pt 1 Summary of Data'!I$25:I$28,'Pt 1 Summary of Data'!I$30,'Pt 1 Summary of Data'!I$34:I$35)+IF('Company Information'!$C$15="No",IF(MAX('Pt 1 Summary of Data'!I$31:I$32)=0,MIN('Pt 1 Summary of Data'!I$31:I$32),MAX('Pt 1 Summary of Data'!I$31:I$32)),SUM('Pt 1 Summary of Data'!I$31:I$32))</f>
        <v>39793762</v>
      </c>
      <c r="H16" s="109">
        <v>2611985.89</v>
      </c>
      <c r="I16" s="110">
        <v>20195479.295610972</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23274961.673464432</v>
      </c>
      <c r="K16" s="115">
        <f>SUM(H16:J16)</f>
        <v>46082426.859075405</v>
      </c>
      <c r="L16" s="116">
        <f>SUM('Pt 1 Summary of Data'!O$25:O$28,'Pt 1 Summary of Data'!O$30,'Pt 1 Summary of Data'!O$34:O$35)+IF('Company Information'!$C$15="No",IF(MAX('Pt 1 Summary of Data'!O$31:O$32)=0,MIN('Pt 1 Summary of Data'!O$31:O$32),MAX('Pt 1 Summary of Data'!O$31:O$32)),SUM('Pt 1 Summary of Data'!O$31:O$32))</f>
        <v>0</v>
      </c>
      <c r="M16" s="109">
        <v>7627311.7000000002</v>
      </c>
      <c r="N16" s="110">
        <v>2837728.3510775077</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3640510.1707035103</v>
      </c>
      <c r="P16" s="115">
        <f>SUM(M16:O16)</f>
        <v>14105550.221781017</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59455606.090000004</v>
      </c>
      <c r="D17" s="115">
        <f>D$15-D$16+IF(AND(OR('Company Information'!$C$12="District of Columbia",'Company Information'!$C$12="Massachusetts",'Company Information'!$C$12="Vermont"),SUM($C$6:$F$11,$C$15:$F$16,$C$37:$D$37)&lt;&gt;0),I$15-I$16,0)</f>
        <v>93158752.441158265</v>
      </c>
      <c r="E17" s="115">
        <f>E$15-E$16+IF(AND(OR('Company Information'!$C$12="District of Columbia",'Company Information'!$C$12="Massachusetts",'Company Information'!$C$12="Vermont"),SUM($C$6:$F$11,$C$15:$F$16,$C$37:$D$37)&lt;&gt;0),J$15-J$16,0)</f>
        <v>762511504.75607204</v>
      </c>
      <c r="F17" s="115">
        <f>F$15-F$16+IF(AND(OR('Company Information'!$C$12="District of Columbia",'Company Information'!$C$12="Massachusetts",'Company Information'!$C$12="Vermont"),SUM($C$6:$F$11,$C$15:$F$16,$C$37:$D$37)&lt;&gt;0),K$15-K$16,0)</f>
        <v>915125863.28723025</v>
      </c>
      <c r="G17" s="314"/>
      <c r="H17" s="114">
        <f>H$15-H$16+IF(AND(OR('Company Information'!$C$12="District of Columbia",'Company Information'!$C$12="Massachusetts",'Company Information'!$C$12="Vermont"),SUM($H$6:$K$11,$H$15:$K$16,$H$37:$I$37)&lt;&gt;0),C$15-C$16,0)</f>
        <v>260311116.79000002</v>
      </c>
      <c r="I17" s="115">
        <f>I$15-I$16+IF(AND(OR('Company Information'!$C$12="District of Columbia",'Company Information'!$C$12="Massachusetts",'Company Information'!$C$12="Vermont"),SUM($H$6:$K$11,$H$15:$K$16,$H$37:$I$37)&lt;&gt;0),D$15-D$16,0)</f>
        <v>305313262.24422348</v>
      </c>
      <c r="J17" s="115">
        <f>J$15-J$16+IF(AND(OR('Company Information'!$C$12="District of Columbia",'Company Information'!$C$12="Massachusetts",'Company Information'!$C$12="Vermont"),SUM($H$6:$K$11,$H$15:$K$16,$H$37:$I$37)&lt;&gt;0),E$15-E$16,0)</f>
        <v>415144120.44030237</v>
      </c>
      <c r="K17" s="115">
        <f>K$15-K$16+IF(AND(OR('Company Information'!$C$12="District of Columbia",'Company Information'!$C$12="Massachusetts",'Company Information'!$C$12="Vermont"),SUM($H$6:$K$11,$H$15:$K$16,$H$37:$I$37)&lt;&gt;0),F$15-F$16,0)</f>
        <v>980768499.47452581</v>
      </c>
      <c r="L17" s="314"/>
      <c r="M17" s="114">
        <f>M$15-M$16</f>
        <v>81888553.670000002</v>
      </c>
      <c r="N17" s="115">
        <f>N$15-N$16</f>
        <v>117679416.13801202</v>
      </c>
      <c r="O17" s="115">
        <f>O$15-O$16</f>
        <v>133675498.93621324</v>
      </c>
      <c r="P17" s="115">
        <f>P$15-P$16</f>
        <v>333243468.74422526</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683666859</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95126189</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0.99459516143779192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3.27E-2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43098854.409600005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G$15-G$19-G$16-G$20+IF(AND(OR('Company Information'!$C$12="District of Columbia",'Company Information'!$C$12="Massachusetts",'Company Information'!$C$12="Vermont"),SUM($G$6:$G$10,$G$15:$G$16)&lt;&gt;0),L$15-L$16,0)</f>
        <v>-91411000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f>(3%+G$22)*(G$15-G$16+IF(AND(OR('Company Information'!$C$12="District of Columbia",'Company Information'!$C$12="Massachusetts",'Company Information'!$C$12="Vermont"),SUM($G$6:$G$10,$G$15:$G$16)&lt;&gt;0),L$15-L$16,0))</f>
        <v>43098854.409600005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178018805.40960002</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G$20+G$23+G$16+IF(AND(OR('Company Information'!$C$12="District of Columbia",'Company Information'!$C$12="Massachusetts",'Company Information'!$C$12="Vermont"),SUM($G$6:$G$10,$G$15:$G$16)&lt;&gt;0),L$16,0)</f>
        <v>178018805.40960002</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199747564.56960002</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177270171.59999999</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549157004.59039998</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f>MIN(MAX(0,G$27),MAX(0,G$29))</f>
        <v>177270171.59999999</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G$15+IF(AND(OR('Company Information'!$C$12="District of Columbia",'Company Information'!$C$12="Massachusetts",'Company Information'!$C$12="Vermont"),SUM($G$6:$G$10,$G$15:$G$16)&lt;&gt;0),L$15,0)-G$31</f>
        <v>549905638.39999998</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f>IF(G$32=0,0,G$19/G$32)</f>
        <v>1.2432439517972398</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85562657</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83361309</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41393.583333333336</v>
      </c>
      <c r="D37" s="122">
        <v>54558</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239298.08333333334</v>
      </c>
      <c r="F37" s="256">
        <f>SUM(C$37:E$37)+IF(AND(OR('Company Information'!$C$12="District of Columbia",'Company Information'!$C$12="Massachusetts",'Company Information'!$C$12="Vermont"),SUM($C$6:$F$11,$C$15:$F$16,$C$37:$D$37)&lt;&gt;0,SUM(C$37:D$37)&lt;&gt;SUM(H$37:I$37)),SUM(H$37:I$37),0)</f>
        <v>335249.66666666669</v>
      </c>
      <c r="G37" s="312"/>
      <c r="H37" s="121">
        <v>67293.75</v>
      </c>
      <c r="I37" s="122">
        <v>79669</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100686.83333333333</v>
      </c>
      <c r="K37" s="256">
        <f>SUM(H$37:J$37)+IF(AND(OR('Company Information'!$C$12="District of Columbia",'Company Information'!$C$12="Massachusetts",'Company Information'!$C$12="Vermont"),SUM($H$6:$K$11,$H$15:$K$16,$H$37:$I$37)&lt;&gt;0,SUM(H$37:I$37)&lt;&gt;SUM(C$37:D$37)),SUM(C$37:D$37),0)</f>
        <v>247649.58333333331</v>
      </c>
      <c r="L37" s="312"/>
      <c r="M37" s="121">
        <v>21624.833333333332</v>
      </c>
      <c r="N37" s="122">
        <v>27678</v>
      </c>
      <c r="O37" s="256">
        <f>('Pt 1 Summary of Data'!Q$59+'Pt 1 Summary of Data'!S$59-'Pt 1 Summary of Data'!T$59)/12</f>
        <v>30580.083333333332</v>
      </c>
      <c r="P37" s="256">
        <f>SUM(M$37:O$37)</f>
        <v>79882.916666666657</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4262.5068194298092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1.3317906492097178</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IF(OR(C$37&lt;1000,C$17&lt;=0),"",C$12/C$17)</f>
        <v>0.89166976591323766</v>
      </c>
      <c r="D44" s="260">
        <f>IF(OR(D$37&lt;1000,D$17&lt;=0),"",D$12/D$17)</f>
        <v>0.83966623720200018</v>
      </c>
      <c r="E44" s="260">
        <f>IF(OR(E$37&lt;1000,E$17&lt;=0),"",E$12/E$17)</f>
        <v>0.88621542835300959</v>
      </c>
      <c r="F44" s="260">
        <f>IF(OR(F$37&lt;1000,F$17&lt;=0),"",F$12/F$17)</f>
        <v>0.88183114222334213</v>
      </c>
      <c r="G44" s="311"/>
      <c r="H44" s="262">
        <f>IF(OR(H$37&lt;1000,H$17&lt;=0),"",H$12/H$17)</f>
        <v>0.74050319030793521</v>
      </c>
      <c r="I44" s="260">
        <f>IF(OR(I$37&lt;1000,I$17&lt;=0),"",I$12/I$17)</f>
        <v>0.78867441160806284</v>
      </c>
      <c r="J44" s="260">
        <f>IF(OR(J$37&lt;1000,J$17&lt;=0),"",J$12/J$17)</f>
        <v>0.85809744004085131</v>
      </c>
      <c r="K44" s="260">
        <f>IF(OR(K$37&lt;1000,K$17&lt;=0),"",K$12/K$17)</f>
        <v>0.80527471807384021</v>
      </c>
      <c r="L44" s="311"/>
      <c r="M44" s="262">
        <f>IF(OR(M$37&lt;1000,M$17&lt;=0),"",M$12/M$17)</f>
        <v>0.94499699355092404</v>
      </c>
      <c r="N44" s="260">
        <f>IF(OR(N$37&lt;1000,N$17&lt;=0),"",N$12/N$17)</f>
        <v>0.87127541054633106</v>
      </c>
      <c r="O44" s="260">
        <f>IF(OR(O$37&lt;1000,O$17&lt;=0),"",O$12/O$17)</f>
        <v>0.88205370804883998</v>
      </c>
      <c r="P44" s="260">
        <f>IF(OR(P$37&lt;1000,P$17&lt;=0),"",P$12/P$17)</f>
        <v>0.89371470434860267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IF(F$44="","",F$41)</f>
        <v>0</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IF(F$44="","",ROUND(F$44+MAX(0,F$46),3))</f>
        <v>0.88200000000000001</v>
      </c>
      <c r="G47" s="311"/>
      <c r="H47" s="292"/>
      <c r="I47" s="288"/>
      <c r="J47" s="288"/>
      <c r="K47" s="260">
        <f>IF(K$44="","",ROUND(K$44+MAX(0,K$46),3))</f>
        <v>0.80500000000000005</v>
      </c>
      <c r="L47" s="311"/>
      <c r="M47" s="292"/>
      <c r="N47" s="288"/>
      <c r="O47" s="288"/>
      <c r="P47" s="260">
        <f>IF(P$44="","",ROUND(P$44+MAX(0,P$46),3))</f>
        <v>0.89400000000000002</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0.88200000000000001</v>
      </c>
      <c r="G50" s="311"/>
      <c r="H50" s="293"/>
      <c r="I50" s="289"/>
      <c r="J50" s="289"/>
      <c r="K50" s="260">
        <f>K$47</f>
        <v>0.80500000000000005</v>
      </c>
      <c r="L50" s="311"/>
      <c r="M50" s="293"/>
      <c r="N50" s="289"/>
      <c r="O50" s="289"/>
      <c r="P50" s="260">
        <f>P$47</f>
        <v>0.89400000000000002</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762511504.75607204</v>
      </c>
      <c r="G51" s="311"/>
      <c r="H51" s="292"/>
      <c r="I51" s="288"/>
      <c r="J51" s="288"/>
      <c r="K51" s="115">
        <f>IF(K$37&lt;1000,"",MAX(0,J$15-J$16))</f>
        <v>415144120.44030237</v>
      </c>
      <c r="L51" s="311"/>
      <c r="M51" s="292"/>
      <c r="N51" s="288"/>
      <c r="O51" s="288"/>
      <c r="P51" s="115">
        <f>IF(P$37&lt;1000,"",MAX(0,O$15-O$16))</f>
        <v>133675498.93621324</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451243.38092344376</v>
      </c>
      <c r="E55" s="288"/>
      <c r="F55" s="288"/>
      <c r="G55" s="311"/>
      <c r="H55" s="292"/>
      <c r="I55" s="110">
        <v>2361343.9639411136</v>
      </c>
      <c r="J55" s="288"/>
      <c r="K55" s="288"/>
      <c r="L55" s="311"/>
      <c r="M55" s="292"/>
      <c r="N55" s="110">
        <v>591419.45016733522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-14819.864273969863</v>
      </c>
      <c r="E56" s="288"/>
      <c r="F56" s="288"/>
      <c r="G56" s="311"/>
      <c r="H56" s="292"/>
      <c r="I56" s="110">
        <v>146506.91099821083</v>
      </c>
      <c r="J56" s="288"/>
      <c r="K56" s="288"/>
      <c r="L56" s="311"/>
      <c r="M56" s="292"/>
      <c r="N56" s="110">
        <v>13925.984884383606</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176961</v>
      </c>
      <c r="D4" s="149">
        <f>'Pt 1 Summary of Data'!$K$56+'Pt 1 Summary of Data'!$M$56-'Pt 1 Summary of Data'!$N$56</f>
        <v>62152</v>
      </c>
      <c r="E4" s="149">
        <f>'Pt 1 Summary of Data'!$Q$56+'Pt 1 Summary of Data'!$S$56-'Pt 1 Summary of Data'!$T$56</f>
        <v>17335</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c r="D16" s="119">
        <v>4274385.6714191325</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150140.05999999994</v>
      </c>
      <c r="E22" s="212"/>
      <c r="F22" s="212"/>
      <c r="G22" s="212"/>
      <c r="H22" s="212"/>
      <c r="I22" s="359"/>
      <c r="J22" s="359"/>
      <c r="K22" s="368"/>
    </row>
    <row r="23" spans="2:12" s="5" customFormat="1" ht="100.15" customHeight="1" x14ac:dyDescent="0.2">
      <c r="B23" s="102" t="s">
        <v>212</v>
      </c>
      <c r="C23" s="381" t="s">
        <v>534</v>
      </c>
      <c r="D23" s="382"/>
      <c r="E23" s="382"/>
      <c r="F23" s="382"/>
      <c r="G23" s="382"/>
      <c r="H23" s="382"/>
      <c r="I23" s="382"/>
      <c r="J23" s="382"/>
      <c r="K23" s="383"/>
    </row>
    <row r="24" spans="2:12" s="5" customFormat="1" ht="100.15" customHeight="1" x14ac:dyDescent="0.2">
      <c r="B24" s="101" t="s">
        <v>213</v>
      </c>
      <c r="C24" s="384" t="s">
        <v>535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504</v>
      </c>
      <c r="C12" s="28"/>
      <c r="D12" s="29"/>
      <c r="E12" s="29"/>
      <c r="F12" s="29"/>
      <c r="G12" s="29"/>
      <c r="H12" s="29"/>
      <c r="I12" s="27"/>
      <c r="J12" s="27"/>
      <c r="K12" s="2"/>
    </row>
    <row r="13" spans="1:12" s="5" customFormat="1" ht="18" customHeight="1" x14ac:dyDescent="0.2">
      <c r="B13" s="66" t="s">
        <v>509</v>
      </c>
      <c r="C13" s="28"/>
      <c r="D13" s="29"/>
      <c r="E13" s="29"/>
      <c r="F13" s="29"/>
      <c r="G13" s="29"/>
      <c r="H13" s="29"/>
      <c r="I13" s="27"/>
      <c r="J13" s="27"/>
      <c r="K13" s="2"/>
    </row>
    <row r="14" spans="1:12" s="5" customFormat="1" ht="18" customHeight="1" x14ac:dyDescent="0.2">
      <c r="B14" s="66" t="s">
        <v>510</v>
      </c>
      <c r="C14" s="28"/>
      <c r="D14" s="29"/>
      <c r="E14" s="29"/>
      <c r="F14" s="29"/>
      <c r="G14" s="29"/>
      <c r="H14" s="29"/>
      <c r="I14" s="27"/>
      <c r="J14" s="27"/>
      <c r="K14" s="2"/>
    </row>
    <row r="15" spans="1:12" s="5" customFormat="1" ht="18" customHeight="1" x14ac:dyDescent="0.2">
      <c r="B15" s="66" t="s">
        <v>511</v>
      </c>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512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513</v>
      </c>
      <c r="E27" s="7"/>
    </row>
    <row r="28" spans="2:5" ht="35.25" customHeight="1" x14ac:dyDescent="0.2">
      <c r="B28" s="219"/>
      <c r="C28" s="150"/>
      <c r="D28" s="222" t="s">
        <v>514</v>
      </c>
      <c r="E28" s="7"/>
    </row>
    <row r="29" spans="2:5" ht="35.25" customHeight="1" x14ac:dyDescent="0.2">
      <c r="B29" s="219"/>
      <c r="C29" s="150"/>
      <c r="D29" s="222" t="s">
        <v>515</v>
      </c>
      <c r="E29" s="7"/>
    </row>
    <row r="30" spans="2:5" ht="35.25" customHeight="1" x14ac:dyDescent="0.2">
      <c r="B30" s="219"/>
      <c r="C30" s="150"/>
      <c r="D30" s="222" t="s">
        <v>516</v>
      </c>
      <c r="E30" s="7"/>
    </row>
    <row r="31" spans="2:5" ht="35.25" customHeight="1" x14ac:dyDescent="0.2">
      <c r="B31" s="219"/>
      <c r="C31" s="150"/>
      <c r="D31" s="222" t="s">
        <v>517</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t="s">
        <v>521</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523</v>
      </c>
      <c r="E48" s="7"/>
    </row>
    <row r="49" spans="2:5" ht="35.25" customHeight="1" x14ac:dyDescent="0.2">
      <c r="B49" s="219"/>
      <c r="C49" s="150"/>
      <c r="D49" s="222" t="s">
        <v>524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t="s">
        <v>528</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525</v>
      </c>
      <c r="E67" s="7"/>
    </row>
    <row r="68" spans="2:5" ht="35.25" customHeight="1" x14ac:dyDescent="0.2">
      <c r="B68" s="219"/>
      <c r="C68" s="152"/>
      <c r="D68" s="222" t="s">
        <v>526</v>
      </c>
      <c r="E68" s="7"/>
    </row>
    <row r="69" spans="2:5" ht="35.25" customHeight="1" x14ac:dyDescent="0.2">
      <c r="B69" s="219"/>
      <c r="C69" s="152"/>
      <c r="D69" s="222" t="s">
        <v>527</v>
      </c>
      <c r="E69" s="7"/>
    </row>
    <row r="70" spans="2:5" ht="35.25" customHeight="1" x14ac:dyDescent="0.2">
      <c r="B70" s="219"/>
      <c r="C70" s="152"/>
      <c r="D70" s="222" t="s">
        <v>528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525</v>
      </c>
      <c r="E78" s="7"/>
    </row>
    <row r="79" spans="2:5" ht="35.25" customHeight="1" x14ac:dyDescent="0.2">
      <c r="B79" s="219"/>
      <c r="C79" s="152"/>
      <c r="D79" s="222" t="s">
        <v>526</v>
      </c>
      <c r="E79" s="7"/>
    </row>
    <row r="80" spans="2:5" ht="35.25" customHeight="1" x14ac:dyDescent="0.2">
      <c r="B80" s="219"/>
      <c r="C80" s="152"/>
      <c r="D80" s="222" t="s">
        <v>527</v>
      </c>
      <c r="E80" s="7"/>
    </row>
    <row r="81" spans="2:5" ht="35.25" customHeight="1" x14ac:dyDescent="0.2">
      <c r="B81" s="219"/>
      <c r="C81" s="152"/>
      <c r="D81" s="222" t="s">
        <v>528</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525</v>
      </c>
      <c r="E89" s="7"/>
    </row>
    <row r="90" spans="2:5" ht="35.25" customHeight="1" x14ac:dyDescent="0.2">
      <c r="B90" s="219"/>
      <c r="C90" s="152"/>
      <c r="D90" s="222" t="s">
        <v>526</v>
      </c>
      <c r="E90" s="7"/>
    </row>
    <row r="91" spans="2:5" ht="35.25" customHeight="1" x14ac:dyDescent="0.2">
      <c r="B91" s="219"/>
      <c r="C91" s="152"/>
      <c r="D91" s="222" t="s">
        <v>527</v>
      </c>
      <c r="E91" s="7"/>
    </row>
    <row r="92" spans="2:5" ht="35.25" customHeight="1" x14ac:dyDescent="0.2">
      <c r="B92" s="219"/>
      <c r="C92" s="152"/>
      <c r="D92" s="222" t="s">
        <v>528</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529</v>
      </c>
      <c r="E100" s="7"/>
    </row>
    <row r="101" spans="2:5" ht="35.25" customHeight="1" x14ac:dyDescent="0.2">
      <c r="B101" s="219"/>
      <c r="C101" s="152"/>
      <c r="D101" s="222" t="s">
        <v>530</v>
      </c>
      <c r="E101" s="7"/>
    </row>
    <row r="102" spans="2:5" ht="35.25" customHeight="1" x14ac:dyDescent="0.2">
      <c r="B102" s="219"/>
      <c r="C102" s="152"/>
      <c r="D102" s="222" t="s">
        <v>531</v>
      </c>
      <c r="E102" s="7"/>
    </row>
    <row r="103" spans="2:5" ht="35.25" customHeight="1" x14ac:dyDescent="0.2">
      <c r="B103" s="219"/>
      <c r="C103" s="152"/>
      <c r="D103" s="222" t="s">
        <v>532</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525</v>
      </c>
      <c r="E111" s="27"/>
    </row>
    <row r="112" spans="2:5" s="5" customFormat="1" ht="35.25" customHeight="1" x14ac:dyDescent="0.2">
      <c r="B112" s="219"/>
      <c r="C112" s="152"/>
      <c r="D112" s="222" t="s">
        <v>526</v>
      </c>
      <c r="E112" s="27"/>
    </row>
    <row r="113" spans="2:5" s="5" customFormat="1" ht="35.25" customHeight="1" x14ac:dyDescent="0.2">
      <c r="B113" s="219"/>
      <c r="C113" s="152"/>
      <c r="D113" s="222" t="s">
        <v>527</v>
      </c>
      <c r="E113" s="27"/>
    </row>
    <row r="114" spans="2:5" s="5" customFormat="1" ht="35.25" customHeight="1" x14ac:dyDescent="0.2">
      <c r="B114" s="219"/>
      <c r="C114" s="152"/>
      <c r="D114" s="222" t="s">
        <v>528</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525</v>
      </c>
      <c r="E123" s="7"/>
    </row>
    <row r="124" spans="2:5" s="5" customFormat="1" ht="35.25" customHeight="1" x14ac:dyDescent="0.2">
      <c r="B124" s="219"/>
      <c r="C124" s="150"/>
      <c r="D124" s="222" t="s">
        <v>526</v>
      </c>
      <c r="E124" s="27"/>
    </row>
    <row r="125" spans="2:5" s="5" customFormat="1" ht="35.25" customHeight="1" x14ac:dyDescent="0.2">
      <c r="B125" s="219"/>
      <c r="C125" s="150"/>
      <c r="D125" s="222" t="s">
        <v>527</v>
      </c>
      <c r="E125" s="27"/>
    </row>
    <row r="126" spans="2:5" s="5" customFormat="1" ht="35.25" customHeight="1" x14ac:dyDescent="0.2">
      <c r="B126" s="219"/>
      <c r="C126" s="150"/>
      <c r="D126" s="222" t="s">
        <v>528</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525</v>
      </c>
      <c r="E134" s="27"/>
    </row>
    <row r="135" spans="2:5" s="5" customFormat="1" ht="35.25" customHeight="1" x14ac:dyDescent="0.2">
      <c r="B135" s="219"/>
      <c r="C135" s="150"/>
      <c r="D135" s="222" t="s">
        <v>526</v>
      </c>
      <c r="E135" s="27"/>
    </row>
    <row r="136" spans="2:5" s="5" customFormat="1" ht="35.25" customHeight="1" x14ac:dyDescent="0.2">
      <c r="B136" s="219"/>
      <c r="C136" s="150"/>
      <c r="D136" s="222" t="s">
        <v>527</v>
      </c>
      <c r="E136" s="27"/>
    </row>
    <row r="137" spans="2:5" s="5" customFormat="1" ht="35.25" customHeight="1" x14ac:dyDescent="0.2">
      <c r="B137" s="219"/>
      <c r="C137" s="150"/>
      <c r="D137" s="222" t="s">
        <v>528</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526</v>
      </c>
      <c r="E145" s="27"/>
    </row>
    <row r="146" spans="2:5" s="5" customFormat="1" ht="35.25" customHeight="1" x14ac:dyDescent="0.2">
      <c r="B146" s="219"/>
      <c r="C146" s="150"/>
      <c r="D146" s="222" t="s">
        <v>527</v>
      </c>
      <c r="E146" s="27"/>
    </row>
    <row r="147" spans="2:5" s="5" customFormat="1" ht="35.25" customHeight="1" x14ac:dyDescent="0.2">
      <c r="B147" s="219"/>
      <c r="C147" s="150"/>
      <c r="D147" s="222" t="s">
        <v>528</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526</v>
      </c>
      <c r="E167" s="27"/>
    </row>
    <row r="168" spans="2:5" s="5" customFormat="1" ht="35.25" customHeight="1" x14ac:dyDescent="0.2">
      <c r="B168" s="219"/>
      <c r="C168" s="150"/>
      <c r="D168" s="222" t="s">
        <v>527</v>
      </c>
      <c r="E168" s="27"/>
    </row>
    <row r="169" spans="2:5" s="5" customFormat="1" ht="35.25" customHeight="1" x14ac:dyDescent="0.2">
      <c r="B169" s="219"/>
      <c r="C169" s="150"/>
      <c r="D169" s="222" t="s">
        <v>528</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526</v>
      </c>
      <c r="E178" s="27"/>
    </row>
    <row r="179" spans="2:5" s="5" customFormat="1" ht="35.25" customHeight="1" x14ac:dyDescent="0.2">
      <c r="B179" s="219"/>
      <c r="C179" s="150"/>
      <c r="D179" s="222" t="s">
        <v>527</v>
      </c>
      <c r="E179" s="27"/>
    </row>
    <row r="180" spans="2:5" s="5" customFormat="1" ht="35.25" customHeight="1" x14ac:dyDescent="0.2">
      <c r="B180" s="219"/>
      <c r="C180" s="150"/>
      <c r="D180" s="222" t="s">
        <v>528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525</v>
      </c>
      <c r="E200" s="27"/>
    </row>
    <row r="201" spans="2:5" s="5" customFormat="1" ht="35.25" customHeight="1" x14ac:dyDescent="0.2">
      <c r="B201" s="219"/>
      <c r="C201" s="150"/>
      <c r="D201" s="222" t="s">
        <v>526</v>
      </c>
      <c r="E201" s="27"/>
    </row>
    <row r="202" spans="2:5" s="5" customFormat="1" ht="35.25" customHeight="1" x14ac:dyDescent="0.2">
      <c r="B202" s="219"/>
      <c r="C202" s="150"/>
      <c r="D202" s="222" t="s">
        <v>527</v>
      </c>
      <c r="E202" s="27"/>
    </row>
    <row r="203" spans="2:5" s="5" customFormat="1" ht="35.25" customHeight="1" x14ac:dyDescent="0.2">
      <c r="B203" s="219"/>
      <c r="C203" s="150"/>
      <c r="D203" s="222" t="s">
        <v>528</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2015-07-23T00:36:33Z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