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K11" i="16"/>
  <c r="H11" i="16"/>
  <c r="K4" i="16"/>
  <c r="H4" i="16"/>
  <c r="G4" i="16"/>
  <c r="F4" i="16"/>
  <c r="E4" i="16"/>
  <c r="D4" i="16"/>
  <c r="C4" i="16"/>
  <c r="AN52" i="10"/>
  <c r="AB52" i="10"/>
  <c r="X52" i="10"/>
  <c r="G11" i="16" s="1"/>
  <c r="T52" i="10"/>
  <c r="F11" i="16" s="1"/>
  <c r="AN51" i="10"/>
  <c r="AB51" i="10"/>
  <c r="X51" i="10"/>
  <c r="T51" i="10"/>
  <c r="P51" i="10"/>
  <c r="AN50" i="10"/>
  <c r="AN47" i="10"/>
  <c r="AN46" i="10"/>
  <c r="AN45" i="10"/>
  <c r="AM45" i="10"/>
  <c r="AL45" i="10"/>
  <c r="AB45" i="10"/>
  <c r="AB47" i="10" s="1"/>
  <c r="AB50" i="10" s="1"/>
  <c r="AA45" i="10"/>
  <c r="Z45" i="10"/>
  <c r="AB38" i="10" s="1"/>
  <c r="Y45" i="10"/>
  <c r="X45" i="10"/>
  <c r="X46" i="10" s="1"/>
  <c r="W45" i="10"/>
  <c r="V45" i="10"/>
  <c r="U45" i="10"/>
  <c r="T45" i="10"/>
  <c r="T47" i="10" s="1"/>
  <c r="T50" i="10" s="1"/>
  <c r="S45" i="10"/>
  <c r="R45" i="10"/>
  <c r="Q45" i="10"/>
  <c r="P44" i="10"/>
  <c r="O44" i="10"/>
  <c r="N44" i="10"/>
  <c r="M44" i="10"/>
  <c r="AN41" i="10"/>
  <c r="AB41" i="10"/>
  <c r="X41" i="10"/>
  <c r="T41" i="10"/>
  <c r="AN40" i="10"/>
  <c r="AB40" i="10"/>
  <c r="X40" i="10"/>
  <c r="T40" i="10"/>
  <c r="P40" i="10"/>
  <c r="K40" i="10"/>
  <c r="F40" i="10"/>
  <c r="AN38" i="10"/>
  <c r="P38" i="10"/>
  <c r="AN37" i="10"/>
  <c r="AM37" i="10"/>
  <c r="AB37" i="10"/>
  <c r="AA37" i="10"/>
  <c r="X37" i="10"/>
  <c r="W37" i="10"/>
  <c r="T37" i="10"/>
  <c r="S37" i="10"/>
  <c r="P37" i="10"/>
  <c r="O37" i="10"/>
  <c r="L29" i="10"/>
  <c r="L28" i="10"/>
  <c r="L25" i="10"/>
  <c r="L21" i="10"/>
  <c r="L20" i="10"/>
  <c r="L19" i="10"/>
  <c r="L24" i="10" s="1"/>
  <c r="AN17" i="10"/>
  <c r="AM17" i="10"/>
  <c r="AL17" i="10"/>
  <c r="AB17" i="10"/>
  <c r="AA17" i="10"/>
  <c r="Z17" i="10"/>
  <c r="Y17" i="10"/>
  <c r="X17" i="10"/>
  <c r="W17" i="10"/>
  <c r="V17" i="10"/>
  <c r="U17" i="10"/>
  <c r="T17" i="10"/>
  <c r="S17" i="10"/>
  <c r="R17" i="10"/>
  <c r="Q17" i="10"/>
  <c r="P17" i="10"/>
  <c r="O17" i="10"/>
  <c r="N17" i="10"/>
  <c r="M17" i="10"/>
  <c r="P12" i="10" s="1"/>
  <c r="AN16"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Q13" i="10" s="1"/>
  <c r="P15" i="10"/>
  <c r="O15" i="10"/>
  <c r="L15" i="10"/>
  <c r="AN13" i="10"/>
  <c r="AM13" i="10"/>
  <c r="AL13" i="10"/>
  <c r="AB13" i="10"/>
  <c r="AA13" i="10"/>
  <c r="Z13" i="10"/>
  <c r="Y13" i="10"/>
  <c r="W13" i="10"/>
  <c r="S13" i="10"/>
  <c r="R13" i="10"/>
  <c r="O12" i="10"/>
  <c r="N12" i="10"/>
  <c r="M12" i="10"/>
  <c r="K11" i="10"/>
  <c r="J11" i="10"/>
  <c r="F11" i="10"/>
  <c r="E11" i="10"/>
  <c r="L10" i="10"/>
  <c r="K10" i="10"/>
  <c r="J10" i="10"/>
  <c r="G10" i="10"/>
  <c r="E10" i="10"/>
  <c r="F10" i="10" s="1"/>
  <c r="G9" i="10"/>
  <c r="F9" i="10"/>
  <c r="E9" i="10"/>
  <c r="F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T22" i="4" s="1"/>
  <c r="AS55" i="18"/>
  <c r="AR55" i="18"/>
  <c r="AR22" i="4" s="1"/>
  <c r="AQ55" i="18"/>
  <c r="AQ22" i="4" s="1"/>
  <c r="AP55" i="18"/>
  <c r="AP22" i="4" s="1"/>
  <c r="AO55" i="18"/>
  <c r="AO22" i="4" s="1"/>
  <c r="AN55" i="18"/>
  <c r="AN22" i="4" s="1"/>
  <c r="AC55" i="18"/>
  <c r="AC22" i="4" s="1"/>
  <c r="AB55" i="18"/>
  <c r="AB22" i="4" s="1"/>
  <c r="AA55" i="18"/>
  <c r="AA22" i="4" s="1"/>
  <c r="Z55" i="18"/>
  <c r="Z22" i="4" s="1"/>
  <c r="Y55" i="18"/>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E55" i="18"/>
  <c r="E22" i="4" s="1"/>
  <c r="D55" i="18"/>
  <c r="D22" i="4" s="1"/>
  <c r="AU54" i="18"/>
  <c r="AU12" i="4" s="1"/>
  <c r="AT54" i="18"/>
  <c r="AS54" i="18"/>
  <c r="AS12" i="4" s="1"/>
  <c r="AR54" i="18"/>
  <c r="AR12" i="4" s="1"/>
  <c r="AQ54" i="18"/>
  <c r="AP54" i="18"/>
  <c r="AP12" i="4" s="1"/>
  <c r="AO54" i="18"/>
  <c r="AN54" i="18"/>
  <c r="AC54" i="18"/>
  <c r="AB54" i="18"/>
  <c r="AA54" i="18"/>
  <c r="Z54" i="18"/>
  <c r="Y54" i="18"/>
  <c r="X54" i="18"/>
  <c r="W54" i="18"/>
  <c r="W12" i="4" s="1"/>
  <c r="V54" i="18"/>
  <c r="U54" i="18"/>
  <c r="T54" i="18"/>
  <c r="S54" i="18"/>
  <c r="R54" i="18"/>
  <c r="R12" i="4" s="1"/>
  <c r="Q54" i="18"/>
  <c r="P54" i="18"/>
  <c r="P12" i="4" s="1"/>
  <c r="O54" i="18"/>
  <c r="N54" i="18"/>
  <c r="M54" i="18"/>
  <c r="L54" i="18"/>
  <c r="K54" i="18"/>
  <c r="J54" i="18"/>
  <c r="I54" i="18"/>
  <c r="H54" i="18"/>
  <c r="G54" i="18"/>
  <c r="F54" i="18"/>
  <c r="E54" i="18"/>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Y22" i="4"/>
  <c r="F22" i="4"/>
  <c r="AT12" i="4"/>
  <c r="AQ12" i="4"/>
  <c r="AO12" i="4"/>
  <c r="AN12" i="4"/>
  <c r="AC12" i="4"/>
  <c r="AB12" i="4"/>
  <c r="AA12" i="4"/>
  <c r="Z12" i="4"/>
  <c r="Y12" i="4"/>
  <c r="X12" i="4"/>
  <c r="V12" i="4"/>
  <c r="U12" i="4"/>
  <c r="T12" i="4"/>
  <c r="S12" i="4"/>
  <c r="Q12" i="4"/>
  <c r="O12" i="4"/>
  <c r="N12" i="4"/>
  <c r="M12" i="4"/>
  <c r="L12" i="4"/>
  <c r="K12" i="4"/>
  <c r="J12" i="4"/>
  <c r="I12" i="4"/>
  <c r="H12" i="4"/>
  <c r="G12" i="4"/>
  <c r="F12" i="4"/>
  <c r="E12" i="4"/>
  <c r="D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15" i="10" s="1"/>
  <c r="H5" i="4"/>
  <c r="G5" i="4"/>
  <c r="F5" i="4"/>
  <c r="E5" i="4"/>
  <c r="D5" i="4"/>
  <c r="E15" i="10" l="1"/>
  <c r="J15" i="10"/>
  <c r="J7" i="10"/>
  <c r="K7" i="10" s="1"/>
  <c r="L23" i="10"/>
  <c r="L27" i="10" s="1"/>
  <c r="L31" i="10" s="1"/>
  <c r="L32" i="10" s="1"/>
  <c r="L33" i="10" s="1"/>
  <c r="F15" i="10"/>
  <c r="K15" i="10"/>
  <c r="G7" i="10"/>
  <c r="G21" i="10" s="1"/>
  <c r="E7" i="10"/>
  <c r="G29" i="10"/>
  <c r="G19" i="10"/>
  <c r="G28" i="10"/>
  <c r="AB46" i="10"/>
  <c r="X38" i="10"/>
  <c r="X47" i="10"/>
  <c r="X50" i="10" s="1"/>
  <c r="T46" i="10"/>
  <c r="P41" i="10"/>
  <c r="P46" i="10" s="1"/>
  <c r="P47" i="10" s="1"/>
  <c r="P50" i="10" s="1"/>
  <c r="P52" i="10" s="1"/>
  <c r="E11" i="16" s="1"/>
  <c r="T13" i="10"/>
  <c r="U13" i="10"/>
  <c r="X13" i="10"/>
  <c r="G20" i="10" l="1"/>
  <c r="G25" i="10"/>
  <c r="L26" i="10"/>
  <c r="L30" i="10" s="1"/>
  <c r="J12" i="10"/>
  <c r="I12" i="10"/>
  <c r="H17" i="10"/>
  <c r="F7" i="10"/>
  <c r="E17" i="10" s="1"/>
  <c r="E37" i="10"/>
  <c r="C17" i="10"/>
  <c r="D12" i="10"/>
  <c r="J37" i="10"/>
  <c r="K17" i="10"/>
  <c r="H12" i="10"/>
  <c r="I17" i="10"/>
  <c r="I44" i="10" s="1"/>
  <c r="J17" i="10"/>
  <c r="F17" i="10"/>
  <c r="G24" i="10"/>
  <c r="G23" i="10" s="1"/>
  <c r="G27" i="10" s="1"/>
  <c r="C12" i="10" l="1"/>
  <c r="E12" i="10"/>
  <c r="K12" i="10"/>
  <c r="D17" i="10"/>
  <c r="D44" i="10" s="1"/>
  <c r="F37" i="10"/>
  <c r="E44" i="10"/>
  <c r="J44" i="10"/>
  <c r="K37" i="10"/>
  <c r="K44" i="10" s="1"/>
  <c r="C44" i="10"/>
  <c r="H44" i="10"/>
  <c r="G26" i="10"/>
  <c r="G30" i="10" s="1"/>
  <c r="G31" i="10"/>
  <c r="G32" i="10" s="1"/>
  <c r="G33" i="10" s="1"/>
  <c r="F12" i="10" l="1"/>
  <c r="F44" i="10" s="1"/>
  <c r="F38" i="10"/>
  <c r="F51" i="10"/>
  <c r="F41" i="10"/>
  <c r="K51" i="10"/>
  <c r="K38" i="10"/>
  <c r="K41" i="10" s="1"/>
  <c r="K46" i="10" s="1"/>
  <c r="K47" i="10" s="1"/>
  <c r="K50" i="10" s="1"/>
  <c r="D11" i="16" s="1"/>
  <c r="F46" i="10" l="1"/>
  <c r="F47" i="10" s="1"/>
  <c r="F50" i="10" s="1"/>
  <c r="C11" i="16" s="1"/>
</calcChain>
</file>

<file path=xl/sharedStrings.xml><?xml version="1.0" encoding="utf-8"?>
<sst xmlns="http://schemas.openxmlformats.org/spreadsheetml/2006/main" count="633" uniqueCount="534">
  <si>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</si>
  <si>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</si>
  <si>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</si>
  <si>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</si>
  <si>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</si>
  <si>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</si>
  <si>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</si>
  <si>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</si>
  <si>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</si>
  <si>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</si>
  <si>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</si>
  <si>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</si>
  <si>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</si>
  <si>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</si>
  <si>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</si>
  <si>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</si>
  <si>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</si>
  <si>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</si>
  <si>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</si>
  <si>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</si>
  <si>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</si>
  <si>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</si>
  <si>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</si>
  <si>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</si>
  <si>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</si>
  <si>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</si>
  <si>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</si>
  <si>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</si>
  <si>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</si>
  <si>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</si>
  <si>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</si>
  <si>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</si>
  <si>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</si>
  <si>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</si>
  <si>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</si>
  <si>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</si>
  <si>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</si>
  <si>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</si>
  <si>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</si>
  <si>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</si>
  <si>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</si>
  <si>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</si>
  <si>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</si>
  <si>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</si>
  <si>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</si>
  <si>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</si>
  <si>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</si>
  <si>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</si>
  <si>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</si>
  <si>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</si>
  <si>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</si>
  <si>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</si>
  <si>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</si>
  <si>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</si>
  <si>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</si>
  <si>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</si>
  <si>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</si>
  <si>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</si>
  <si>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</si>
  <si>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</si>
  <si>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</si>
  <si>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</si>
  <si>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</si>
  <si>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</si>
  <si>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</si>
  <si>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</si>
  <si>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</si>
  <si>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</si>
  <si>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</si>
  <si>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</si>
  <si>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</si>
  <si>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</si>
  <si>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</si>
  <si>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</si>
  <si>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</si>
  <si>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</si>
  <si>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</si>
  <si>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</si>
  <si>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</si>
  <si>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</si>
  <si>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</si>
  <si>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</si>
  <si>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</si>
  <si>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</si>
  <si>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</si>
  <si>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</si>
  <si>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</si>
  <si>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</si>
  <si>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</si>
  <si>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</si>
  <si>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</si>
  <si>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</si>
  <si>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</si>
  <si>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</si>
  <si>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</si>
  <si>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</si>
  <si>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</si>
  <si>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</si>
  <si>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</si>
  <si>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</si>
  <si>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</si>
  <si>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</si>
  <si>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</si>
  <si>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</si>
  <si>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</si>
  <si>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</si>
  <si>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</si>
  <si>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</si>
  <si>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</si>
  <si>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</si>
  <si>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</si>
  <si>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</si>
  <si>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</si>
  <si>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</si>
  <si>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</si>
  <si>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</si>
  <si>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</si>
  <si>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</si>
  <si>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</si>
  <si>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</si>
  <si>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</si>
  <si>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</si>
  <si>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</si>
  <si>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</si>
  <si>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</si>
  <si>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</si>
  <si>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</si>
  <si>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</si>
  <si>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</si>
  <si>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</si>
  <si>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</si>
  <si>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</si>
  <si>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</si>
  <si>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</si>
  <si>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</si>
  <si>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</si>
  <si>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</si>
  <si>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</si>
  <si>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</si>
  <si>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</si>
  <si>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</si>
  <si>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</si>
  <si>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</si>
  <si>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</si>
  <si>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</si>
  <si>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</si>
  <si>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</si>
  <si>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</si>
  <si>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</si>
  <si>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</si>
  <si>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</si>
  <si>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</si>
  <si>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</si>
  <si>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</si>
  <si>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</si>
  <si>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</si>
  <si>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</si>
  <si>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</si>
  <si>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</si>
  <si>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</si>
  <si>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</si>
  <si>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</si>
  <si>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</si>
  <si>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</si>
  <si>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</si>
  <si>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</si>
  <si>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</si>
  <si>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</si>
  <si>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</si>
  <si>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</si>
  <si>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</si>
  <si>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</si>
  <si>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</si>
  <si>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</si>
  <si>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</si>
  <si>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</si>
  <si>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</si>
  <si>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</si>
  <si>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</si>
  <si>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</si>
  <si>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</si>
  <si>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</si>
  <si>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</si>
  <si>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</si>
  <si>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</si>
  <si>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</si>
  <si>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</si>
  <si>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</si>
  <si>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</si>
  <si>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</si>
  <si>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</si>
  <si>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</si>
  <si>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</si>
  <si>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</si>
  <si>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</si>
  <si>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</si>
  <si>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</si>
  <si>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</si>
  <si>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</si>
  <si>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</si>
  <si>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</si>
  <si>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</si>
  <si>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</si>
  <si>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</si>
  <si>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</si>
  <si>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</si>
  <si>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</si>
  <si>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</si>
  <si>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</si>
  <si>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</si>
  <si>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</si>
  <si>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</si>
  <si>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</si>
  <si>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</si>
  <si>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</si>
  <si>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</si>
  <si>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</si>
  <si>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</si>
  <si>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</si>
  <si>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</si>
  <si>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</si>
  <si>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</si>
  <si>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</si>
  <si>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</si>
  <si>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</si>
  <si>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</si>
  <si>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</si>
  <si>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</si>
  <si>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</si>
  <si>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</si>
  <si>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</si>
  <si>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</si>
  <si>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</si>
  <si>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</si>
  <si>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</si>
  <si>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</si>
  <si>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</si>
  <si>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</si>
  <si>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</si>
  <si>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</si>
  <si>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</si>
  <si>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</si>
  <si>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</si>
  <si>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</si>
  <si>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</si>
  <si>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</si>
  <si>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</si>
  <si>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</si>
  <si>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</si>
  <si>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</si>
  <si>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</si>
  <si>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</si>
  <si>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</si>
  <si>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</si>
  <si>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</si>
  <si>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</si>
  <si>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</si>
  <si>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</si>
  <si>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</si>
  <si>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</si>
  <si>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</si>
  <si>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</si>
  <si>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</si>
  <si>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</si>
  <si>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</si>
  <si>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</si>
  <si>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</si>
  <si>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</si>
  <si>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</si>
  <si>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</si>
  <si>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</si>
  <si>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</si>
  <si>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</si>
  <si>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</si>
  <si>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</si>
  <si>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</si>
  <si>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</si>
  <si>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</si>
  <si>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</si>
  <si>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</si>
  <si>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</si>
  <si>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</si>
  <si>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</si>
  <si>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</si>
  <si>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</si>
  <si>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</si>
  <si>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</si>
  <si>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</si>
  <si>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</si>
  <si>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</si>
  <si>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</si>
  <si>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</si>
  <si>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</si>
  <si>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</si>
  <si>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</si>
  <si>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</si>
  <si>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</si>
  <si>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</si>
  <si>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</si>
  <si>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</si>
  <si>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</si>
  <si>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</si>
  <si>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</si>
  <si>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</si>
  <si>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</si>
  <si>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</si>
  <si>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</si>
  <si>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</si>
  <si>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</si>
  <si>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</si>
  <si>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</si>
  <si>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</si>
  <si>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</si>
  <si>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</si>
  <si>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</si>
  <si>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</si>
  <si>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</si>
  <si>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</si>
  <si>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</si>
  <si>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</si>
  <si>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</si>
  <si>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</si>
  <si>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</si>
  <si>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</si>
  <si>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</si>
  <si>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</si>
  <si>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</si>
  <si>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</si>
  <si>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</si>
  <si>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</si>
  <si>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</si>
  <si>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</si>
  <si>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</si>
  <si>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</si>
  <si>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</si>
  <si>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</si>
  <si>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</si>
  <si>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</si>
  <si>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</si>
  <si>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</si>
  <si>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</si>
  <si>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</si>
  <si>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</si>
  <si>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</si>
  <si>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</si>
  <si>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</si>
  <si>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</si>
  <si>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</si>
  <si>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</si>
  <si>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</si>
  <si>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</si>
  <si>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</si>
  <si>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</si>
  <si>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</si>
  <si>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</si>
  <si>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</si>
  <si>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</si>
  <si>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</si>
  <si>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</si>
  <si>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</si>
  <si>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</si>
  <si>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</si>
  <si>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</si>
  <si>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</si>
  <si>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</si>
  <si>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</si>
  <si>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</si>
  <si>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</si>
  <si>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</si>
  <si>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</si>
  <si>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</si>
  <si>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</si>
  <si>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</si>
  <si>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</si>
  <si>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</si>
  <si>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</si>
  <si>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</si>
  <si>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</si>
  <si>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</si>
  <si>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</si>
  <si>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</si>
  <si>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</si>
  <si>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</si>
  <si>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</si>
  <si>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</si>
  <si>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</si>
  <si>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</si>
  <si>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</si>
  <si>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</si>
  <si>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</si>
  <si>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</si>
  <si>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</si>
  <si>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</si>
  <si>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</si>
  <si>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</si>
  <si>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</si>
  <si>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</si>
  <si>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</si>
  <si>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</si>
  <si>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</si>
  <si>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</si>
  <si>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</si>
  <si>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</si>
  <si>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</si>
  <si>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</si>
  <si>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</si>
  <si>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</si>
  <si>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</si>
  <si>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</si>
  <si>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</si>
  <si>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</si>
  <si>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</si>
  <si>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</si>
  <si>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</si>
  <si>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</si>
  <si>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</si>
  <si>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</si>
  <si>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</si>
  <si>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</si>
  <si>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</si>
  <si>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</si>
  <si>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</si>
  <si>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</si>
  <si>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</si>
  <si>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</si>
  <si>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</si>
  <si>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</si>
  <si>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</si>
  <si>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</si>
  <si>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</si>
  <si>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</si>
  <si>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</si>
  <si>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</si>
  <si>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</si>
  <si>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</si>
  <si>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</si>
  <si>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</si>
  <si>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</si>
  <si>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</si>
  <si>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</si>
  <si>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</si>
  <si>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</si>
  <si>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</si>
  <si>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</si>
  <si>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</si>
  <si>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</si>
  <si>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</si>
  <si>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</si>
  <si>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</si>
  <si>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</si>
  <si>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</si>
  <si>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</si>
  <si>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</si>
  <si>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</si>
  <si>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</si>
  <si>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</si>
  <si>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</si>
  <si>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</si>
  <si>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</si>
  <si>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</si>
  <si>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</si>
  <si>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</si>
  <si>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</si>
  <si>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</si>
  <si>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</si>
  <si>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</si>
  <si>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</si>
  <si>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</si>
  <si>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</si>
  <si>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</si>
  <si>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</si>
  <si>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</si>
  <si>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</si>
  <si>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</si>
  <si>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</si>
  <si>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</si>
  <si>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</si>
  <si>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</si>
  <si>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</si>
  <si>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</si>
  <si>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</si>
  <si>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</si>
  <si>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</si>
  <si>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</si>
  <si>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</si>
  <si>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</si>
  <si>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</si>
  <si>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</si>
  <si>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</si>
  <si>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</si>
  <si>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</si>
  <si>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</si>
  <si>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</si>
  <si>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</si>
  <si>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Insurance Company of Florida, Inc.</t>
  </si>
  <si>
    <t>HUMANA GRP</t>
  </si>
  <si>
    <t>Humana</t>
  </si>
  <si>
    <t>119</t>
  </si>
  <si>
    <t>2014</t>
  </si>
  <si>
    <t>3501 SW 160th Avenue Miramar, FL 33027</t>
  </si>
  <si>
    <t>611041514</t>
  </si>
  <si>
    <t>069671</t>
  </si>
  <si>
    <t>69671</t>
  </si>
  <si>
    <t>214</t>
  </si>
  <si>
    <t>Humana Employers Health Plan of Georgia, Inc.</t>
  </si>
  <si>
    <t>Humana Health Plan of Texas, Inc.</t>
  </si>
  <si>
    <t>Humana Health Plan, Inc.</t>
  </si>
  <si>
    <t>Humana Insurance Company</t>
  </si>
  <si>
    <t>Humana Insurance of Puerto Rico, Inc.</t>
  </si>
  <si>
    <t>Humana Medical Plan,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</si>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</sst>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77741975</v>
      </c>
      <c r="E5" s="106">
        <f>SUM('Pt 2 Premium and Claims'!E$5,'Pt 2 Premium and Claims'!E$6,-'Pt 2 Premium and Claims'!E$7,-'Pt 2 Premium and Claims'!E$13,'Pt 2 Premium and Claims'!E$14:'Pt 2 Premium and Claims'!E$17)</f>
        <v>75619571.439635202</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9666125</v>
      </c>
      <c r="K5" s="106">
        <f>SUM('Pt 2 Premium and Claims'!K$5,'Pt 2 Premium and Claims'!K$6,-'Pt 2 Premium and Claims'!K$7,-'Pt 2 Premium and Claims'!K$13,'Pt 2 Premium and Claims'!K$14,'Pt 2 Premium and Claims'!K$16:'Pt 2 Premium and Claims'!K$17)</f>
        <v>5638229.4412284018</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26242018</v>
      </c>
      <c r="Q5" s="106">
        <f>SUM('Pt 2 Premium and Claims'!Q$5,'Pt 2 Premium and Claims'!Q$6,-'Pt 2 Premium and Claims'!Q$7,-'Pt 2 Premium and Claims'!Q$13,'Pt 2 Premium and Claims'!Q$14)</f>
        <v>9821564.8295130022</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164474733</v>
      </c>
      <c r="AT5" s="107">
        <f>SUM('Pt 2 Premium and Claims'!AT$5,'Pt 2 Premium and Claims'!AT$6,-'Pt 2 Premium and Claims'!AT$7,-'Pt 2 Premium and Claims'!AT$13,'Pt 2 Premium and Claims'!AT$14)</f>
        <v>13478579</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-21397</v>
      </c>
      <c r="E7" s="110">
        <v>-20699.42225388256</v>
      </c>
      <c r="F7" s="110"/>
      <c r="G7" s="110"/>
      <c r="H7" s="110"/>
      <c r="I7" s="109"/>
      <c r="J7" s="109">
        <v>-1709</v>
      </c>
      <c r="K7" s="110">
        <v>-1083.0672438162235</v>
      </c>
      <c r="L7" s="110"/>
      <c r="M7" s="110"/>
      <c r="N7" s="110"/>
      <c r="O7" s="109"/>
      <c r="P7" s="109">
        <v>-7452</v>
      </c>
      <c r="Q7" s="110">
        <v>-2722.6076554201745</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-1233</v>
      </c>
      <c r="AU7" s="113"/>
      <c r="AV7" s="311"/>
      <c r="AW7" s="318"/>
    </row>
    <row r="8" spans="1:49" ht="25.5" x14ac:dyDescent="0.2">
      <c r="B8" s="155" t="s">
        <v>225</v>
      </c>
      <c r="C8" s="62" t="s">
        <v>59</v>
      </c>
      <c r="D8" s="109">
        <v>-216390</v>
      </c>
      <c r="E8" s="289"/>
      <c r="F8" s="290"/>
      <c r="G8" s="290"/>
      <c r="H8" s="290"/>
      <c r="I8" s="293"/>
      <c r="J8" s="109">
        <v>-8878</v>
      </c>
      <c r="K8" s="289"/>
      <c r="L8" s="290"/>
      <c r="M8" s="290"/>
      <c r="N8" s="290"/>
      <c r="O8" s="293"/>
      <c r="P8" s="109">
        <v>-33574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-372159</v>
      </c>
      <c r="AT8" s="113">
        <v>-181732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59279691</v>
      </c>
      <c r="E12" s="106">
        <f>'Pt 2 Premium and Claims'!E$54</f>
        <v>58260377.318745397</v>
      </c>
      <c r="F12" s="106">
        <f>'Pt 2 Premium and Claims'!F$54</f>
        <v>0</v>
      </c>
      <c r="G12" s="106">
        <f>'Pt 2 Premium and Claims'!G$54</f>
        <v>0</v>
      </c>
      <c r="H12" s="106">
        <f>'Pt 2 Premium and Claims'!H$54</f>
        <v>0</v>
      </c>
      <c r="I12" s="105">
        <f>'Pt 2 Premium and Claims'!I$54</f>
        <v>0</v>
      </c>
      <c r="J12" s="105">
        <f>'Pt 2 Premium and Claims'!J$54</f>
        <v>6231018</v>
      </c>
      <c r="K12" s="106">
        <f>'Pt 2 Premium and Claims'!K$54</f>
        <v>4584992.0126608023</v>
      </c>
      <c r="L12" s="106">
        <f>'Pt 2 Premium and Claims'!L$54</f>
        <v>0</v>
      </c>
      <c r="M12" s="106">
        <f>'Pt 2 Premium and Claims'!M$54</f>
        <v>0</v>
      </c>
      <c r="N12" s="106">
        <f>'Pt 2 Premium and Claims'!N$54</f>
        <v>0</v>
      </c>
      <c r="O12" s="105">
        <f>'Pt 2 Premium and Claims'!O$54</f>
        <v>0</v>
      </c>
      <c r="P12" s="105">
        <f>'Pt 2 Premium and Claims'!P$54</f>
        <v>25041337</v>
      </c>
      <c r="Q12" s="106">
        <f>'Pt 2 Premium and Claims'!Q$54</f>
        <v>8248613.7501937971</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142681297</v>
      </c>
      <c r="AT12" s="107">
        <f>'Pt 2 Premium and Claims'!AT$54</f>
        <v>7369134</v>
      </c>
      <c r="AU12" s="107">
        <f>'Pt 2 Premium and Claims'!AU$54</f>
        <v>0</v>
      </c>
      <c r="AV12" s="312"/>
      <c r="AW12" s="317"/>
    </row>
    <row r="13" spans="1:49" ht="25.5" x14ac:dyDescent="0.2">
      <c r="B13" s="155" t="s">
        <v>230</v>
      </c>
      <c r="C13" s="62" t="s">
        <v>37</v>
      </c>
      <c r="D13" s="109">
        <v>10077682</v>
      </c>
      <c r="E13" s="110">
        <v>10068429.182568347</v>
      </c>
      <c r="F13" s="110"/>
      <c r="G13" s="289"/>
      <c r="H13" s="290"/>
      <c r="I13" s="109"/>
      <c r="J13" s="109">
        <v>1420879</v>
      </c>
      <c r="K13" s="110">
        <v>1437040.3464668</v>
      </c>
      <c r="L13" s="110"/>
      <c r="M13" s="289"/>
      <c r="N13" s="290"/>
      <c r="O13" s="109"/>
      <c r="P13" s="109">
        <v>1766481</v>
      </c>
      <c r="Q13" s="110">
        <v>1766115.250964852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12777079</v>
      </c>
      <c r="AT13" s="113">
        <v>-1421</v>
      </c>
      <c r="AU13" s="113"/>
      <c r="AV13" s="311"/>
      <c r="AW13" s="318"/>
    </row>
    <row r="14" spans="1:49" ht="25.5" x14ac:dyDescent="0.2">
      <c r="B14" s="155" t="s">
        <v>231</v>
      </c>
      <c r="C14" s="62" t="s">
        <v>6</v>
      </c>
      <c r="D14" s="109">
        <v>1117688</v>
      </c>
      <c r="E14" s="110">
        <v>1035818.3099999998</v>
      </c>
      <c r="F14" s="110"/>
      <c r="G14" s="288"/>
      <c r="H14" s="291"/>
      <c r="I14" s="109"/>
      <c r="J14" s="109">
        <v>120734</v>
      </c>
      <c r="K14" s="110">
        <v>119081.98000000001</v>
      </c>
      <c r="L14" s="110"/>
      <c r="M14" s="288"/>
      <c r="N14" s="291"/>
      <c r="O14" s="109"/>
      <c r="P14" s="109">
        <v>176377</v>
      </c>
      <c r="Q14" s="110">
        <v>163680.76000000004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2394836</v>
      </c>
      <c r="AT14" s="113">
        <v>629</v>
      </c>
      <c r="AU14" s="113"/>
      <c r="AV14" s="311"/>
      <c r="AW14" s="318"/>
    </row>
    <row r="15" spans="1:49" ht="38.25" x14ac:dyDescent="0.2">
      <c r="B15" s="155" t="s">
        <v>232</v>
      </c>
      <c r="C15" s="62" t="s">
        <v>7</v>
      </c>
      <c r="D15" s="109">
        <v>1220</v>
      </c>
      <c r="E15" s="110">
        <v>1220</v>
      </c>
      <c r="F15" s="110"/>
      <c r="G15" s="288"/>
      <c r="H15" s="294"/>
      <c r="I15" s="109"/>
      <c r="J15" s="109">
        <v>124</v>
      </c>
      <c r="K15" s="110">
        <v>124</v>
      </c>
      <c r="L15" s="110"/>
      <c r="M15" s="288"/>
      <c r="N15" s="294"/>
      <c r="O15" s="109"/>
      <c r="P15" s="109">
        <v>417</v>
      </c>
      <c r="Q15" s="110">
        <v>417</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2679</v>
      </c>
      <c r="AT15" s="113">
        <v>221</v>
      </c>
      <c r="AU15" s="113"/>
      <c r="AV15" s="311"/>
      <c r="AW15" s="318"/>
    </row>
    <row r="16" spans="1:49" ht="25.5" x14ac:dyDescent="0.2">
      <c r="B16" s="155" t="s">
        <v>233</v>
      </c>
      <c r="C16" s="62" t="s">
        <v>61</v>
      </c>
      <c r="D16" s="109">
        <v>-310762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-20072</v>
      </c>
      <c r="AT16" s="113"/>
      <c r="AU16" s="113"/>
      <c r="AV16" s="311"/>
      <c r="AW16" s="318"/>
    </row>
    <row r="17" spans="1:49" x14ac:dyDescent="0.2">
      <c r="B17" s="155" t="s">
        <v>234</v>
      </c>
      <c r="C17" s="62" t="s">
        <v>62</v>
      </c>
      <c r="D17" s="109">
        <v>-2547363</v>
      </c>
      <c r="E17" s="288"/>
      <c r="F17" s="291"/>
      <c r="G17" s="291"/>
      <c r="H17" s="291"/>
      <c r="I17" s="292"/>
      <c r="J17" s="109">
        <v>890103</v>
      </c>
      <c r="K17" s="288"/>
      <c r="L17" s="291"/>
      <c r="M17" s="291"/>
      <c r="N17" s="291"/>
      <c r="O17" s="292"/>
      <c r="P17" s="109">
        <v>89097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1560099</v>
      </c>
      <c r="E18" s="288"/>
      <c r="F18" s="291"/>
      <c r="G18" s="291"/>
      <c r="H18" s="294"/>
      <c r="I18" s="292"/>
      <c r="J18" s="109">
        <v>424745</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1869718</v>
      </c>
      <c r="E19" s="288"/>
      <c r="F19" s="291"/>
      <c r="G19" s="291"/>
      <c r="H19" s="291"/>
      <c r="I19" s="292"/>
      <c r="J19" s="109">
        <v>1307864</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1581503</v>
      </c>
      <c r="E20" s="288"/>
      <c r="F20" s="291"/>
      <c r="G20" s="291"/>
      <c r="H20" s="291"/>
      <c r="I20" s="292"/>
      <c r="J20" s="109">
        <v>752109</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120877</v>
      </c>
      <c r="E22" s="115">
        <f>'Pt 2 Premium and Claims'!E$55</f>
        <v>116194.33</v>
      </c>
      <c r="F22" s="115">
        <f>'Pt 2 Premium and Claims'!F$55</f>
        <v>0</v>
      </c>
      <c r="G22" s="115">
        <f>'Pt 2 Premium and Claims'!G$55</f>
        <v>0</v>
      </c>
      <c r="H22" s="115">
        <f>'Pt 2 Premium and Claims'!H$55</f>
        <v>0</v>
      </c>
      <c r="I22" s="114">
        <f>'Pt 2 Premium and Claims'!I$55</f>
        <v>0</v>
      </c>
      <c r="J22" s="114">
        <f>'Pt 2 Premium and Claims'!J$55</f>
        <v>4490</v>
      </c>
      <c r="K22" s="115">
        <f>'Pt 2 Premium and Claims'!K$55</f>
        <v>4414.72</v>
      </c>
      <c r="L22" s="115">
        <f>'Pt 2 Premium and Claims'!L$55</f>
        <v>0</v>
      </c>
      <c r="M22" s="115">
        <f>'Pt 2 Premium and Claims'!M$55</f>
        <v>0</v>
      </c>
      <c r="N22" s="115">
        <f>'Pt 2 Premium and Claims'!N$55</f>
        <v>0</v>
      </c>
      <c r="O22" s="114">
        <f>'Pt 2 Premium and Claims'!O$55</f>
        <v>0</v>
      </c>
      <c r="P22" s="114">
        <f>'Pt 2 Premium and Claims'!P$55</f>
        <v>19471</v>
      </c>
      <c r="Q22" s="115">
        <f>'Pt 2 Premium and Claims'!Q$55</f>
        <v>19079.78</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-835931.10939999996</v>
      </c>
      <c r="E25" s="110">
        <v>-808678.36652928428</v>
      </c>
      <c r="F25" s="110"/>
      <c r="G25" s="110"/>
      <c r="H25" s="110"/>
      <c r="I25" s="109"/>
      <c r="J25" s="109">
        <v>753748.39529999997</v>
      </c>
      <c r="K25" s="110">
        <v>477682.9707597848</v>
      </c>
      <c r="L25" s="110"/>
      <c r="M25" s="110"/>
      <c r="N25" s="110"/>
      <c r="O25" s="109"/>
      <c r="P25" s="109">
        <v>-801670.74439999997</v>
      </c>
      <c r="Q25" s="110">
        <v>-292892.49944039586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1935738.368</v>
      </c>
      <c r="AT25" s="113">
        <v>1048387.159</v>
      </c>
      <c r="AU25" s="113"/>
      <c r="AV25" s="113"/>
      <c r="AW25" s="318"/>
    </row>
    <row r="26" spans="1:49" s="5" customFormat="1" x14ac:dyDescent="0.2">
      <c r="A26" s="35"/>
      <c r="B26" s="158" t="s">
        <v>243</v>
      </c>
      <c r="C26" s="62"/>
      <c r="D26" s="109"/>
      <c r="E26" s="110">
        <v>58515.913321450105</v>
      </c>
      <c r="F26" s="110"/>
      <c r="G26" s="110"/>
      <c r="H26" s="110"/>
      <c r="I26" s="109"/>
      <c r="J26" s="109"/>
      <c r="K26" s="110">
        <v>1664.7358268424632</v>
      </c>
      <c r="L26" s="110"/>
      <c r="M26" s="110"/>
      <c r="N26" s="110"/>
      <c r="O26" s="109"/>
      <c r="P26" s="109"/>
      <c r="Q26" s="110">
        <v>3828.8990143424553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965723.68000000017</v>
      </c>
      <c r="E27" s="110">
        <v>934239.4837076863</v>
      </c>
      <c r="F27" s="110"/>
      <c r="G27" s="110"/>
      <c r="H27" s="110"/>
      <c r="I27" s="109"/>
      <c r="J27" s="109">
        <v>101173.30000000002</v>
      </c>
      <c r="K27" s="110">
        <v>64117.897705554089</v>
      </c>
      <c r="L27" s="110"/>
      <c r="M27" s="110"/>
      <c r="N27" s="110"/>
      <c r="O27" s="109"/>
      <c r="P27" s="109">
        <v>334473.46000000002</v>
      </c>
      <c r="Q27" s="110">
        <v>122200.75184257564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2007048.69</v>
      </c>
      <c r="AT27" s="113"/>
      <c r="AU27" s="113"/>
      <c r="AV27" s="314"/>
      <c r="AW27" s="318"/>
    </row>
    <row r="28" spans="1:49" s="5" customFormat="1" x14ac:dyDescent="0.2">
      <c r="A28" s="35"/>
      <c r="B28" s="158" t="s">
        <v>245</v>
      </c>
      <c r="C28" s="62"/>
      <c r="D28" s="109">
        <v>1959911.6900000002</v>
      </c>
      <c r="E28" s="110">
        <v>275685.98615777987</v>
      </c>
      <c r="F28" s="110"/>
      <c r="G28" s="110"/>
      <c r="H28" s="110"/>
      <c r="I28" s="109"/>
      <c r="J28" s="109">
        <v>81736.53</v>
      </c>
      <c r="K28" s="110">
        <v>7225.1548921066396</v>
      </c>
      <c r="L28" s="110"/>
      <c r="M28" s="110"/>
      <c r="N28" s="110"/>
      <c r="O28" s="109"/>
      <c r="P28" s="109">
        <v>325481</v>
      </c>
      <c r="Q28" s="110">
        <v>16758.567154164193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6076.03</v>
      </c>
      <c r="AT28" s="113">
        <v>705.75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144338.66000999988</v>
      </c>
      <c r="E30" s="110">
        <v>137509.6340058652</v>
      </c>
      <c r="F30" s="110"/>
      <c r="G30" s="110"/>
      <c r="H30" s="110"/>
      <c r="I30" s="109"/>
      <c r="J30" s="109">
        <v>54495.34057</v>
      </c>
      <c r="K30" s="110">
        <v>29841.405726032161</v>
      </c>
      <c r="L30" s="110"/>
      <c r="M30" s="110"/>
      <c r="N30" s="110"/>
      <c r="O30" s="109"/>
      <c r="P30" s="109">
        <v>-7224.6326499999986</v>
      </c>
      <c r="Q30" s="110">
        <v>-937.71132544755096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250702.38350000003</v>
      </c>
      <c r="AT30" s="113">
        <v>82927.877639999992</v>
      </c>
      <c r="AU30" s="113"/>
      <c r="AV30" s="113"/>
      <c r="AW30" s="318"/>
    </row>
    <row r="31" spans="1:49" x14ac:dyDescent="0.2">
      <c r="B31" s="158" t="s">
        <v>248</v>
      </c>
      <c r="C31" s="62"/>
      <c r="D31" s="109">
        <v>449425.82339999999</v>
      </c>
      <c r="E31" s="110">
        <v>433404.09432925511</v>
      </c>
      <c r="F31" s="110"/>
      <c r="G31" s="110"/>
      <c r="H31" s="110"/>
      <c r="I31" s="109"/>
      <c r="J31" s="109">
        <v>62903.719600000004</v>
      </c>
      <c r="K31" s="110">
        <v>39864.808784646317</v>
      </c>
      <c r="L31" s="110"/>
      <c r="M31" s="110"/>
      <c r="N31" s="110"/>
      <c r="O31" s="109"/>
      <c r="P31" s="109">
        <v>164136.81000000003</v>
      </c>
      <c r="Q31" s="110">
        <v>59967.812056125433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69748.149999999994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1837534.6419705669</v>
      </c>
      <c r="F34" s="110"/>
      <c r="G34" s="110"/>
      <c r="H34" s="110"/>
      <c r="I34" s="109"/>
      <c r="J34" s="109"/>
      <c r="K34" s="110">
        <v>49811.346244095199</v>
      </c>
      <c r="L34" s="110"/>
      <c r="M34" s="110"/>
      <c r="N34" s="110"/>
      <c r="O34" s="109"/>
      <c r="P34" s="109"/>
      <c r="Q34" s="110">
        <v>114596.43047552838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77268.310000000012</v>
      </c>
      <c r="E35" s="110">
        <v>74891.461634512438</v>
      </c>
      <c r="F35" s="110"/>
      <c r="G35" s="110"/>
      <c r="H35" s="110"/>
      <c r="I35" s="109"/>
      <c r="J35" s="109">
        <v>3163.0900000000006</v>
      </c>
      <c r="K35" s="110">
        <v>2117.627777953282</v>
      </c>
      <c r="L35" s="110"/>
      <c r="M35" s="110"/>
      <c r="N35" s="110"/>
      <c r="O35" s="109"/>
      <c r="P35" s="109">
        <v>12693.81</v>
      </c>
      <c r="Q35" s="110">
        <v>4637.6764352666487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58245.689999999995</v>
      </c>
      <c r="AT35" s="113">
        <v>6685.12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384433</v>
      </c>
      <c r="E37" s="118">
        <v>379982.5</v>
      </c>
      <c r="F37" s="118"/>
      <c r="G37" s="118"/>
      <c r="H37" s="118"/>
      <c r="I37" s="117"/>
      <c r="J37" s="117">
        <v>24124</v>
      </c>
      <c r="K37" s="118">
        <v>15607.379999999997</v>
      </c>
      <c r="L37" s="118"/>
      <c r="M37" s="118"/>
      <c r="N37" s="118"/>
      <c r="O37" s="117"/>
      <c r="P37" s="117">
        <v>67465</v>
      </c>
      <c r="Q37" s="118">
        <v>35546.269999999997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1432947</v>
      </c>
      <c r="AT37" s="119">
        <v>15</v>
      </c>
      <c r="AU37" s="119"/>
      <c r="AV37" s="119"/>
      <c r="AW37" s="317"/>
    </row>
    <row r="38" spans="1:49" x14ac:dyDescent="0.2">
      <c r="B38" s="155" t="s">
        <v>255</v>
      </c>
      <c r="C38" s="62" t="s">
        <v>16</v>
      </c>
      <c r="D38" s="109">
        <v>58062</v>
      </c>
      <c r="E38" s="110">
        <v>55790.709999999985</v>
      </c>
      <c r="F38" s="110"/>
      <c r="G38" s="110"/>
      <c r="H38" s="110"/>
      <c r="I38" s="109"/>
      <c r="J38" s="109">
        <v>8311</v>
      </c>
      <c r="K38" s="110">
        <v>4369.8700000000008</v>
      </c>
      <c r="L38" s="110"/>
      <c r="M38" s="110"/>
      <c r="N38" s="110"/>
      <c r="O38" s="109"/>
      <c r="P38" s="109">
        <v>31669</v>
      </c>
      <c r="Q38" s="110">
        <v>12207.36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748692</v>
      </c>
      <c r="AT38" s="113">
        <v>-120</v>
      </c>
      <c r="AU38" s="113"/>
      <c r="AV38" s="113"/>
      <c r="AW38" s="318"/>
    </row>
    <row r="39" spans="1:49" x14ac:dyDescent="0.2">
      <c r="B39" s="158" t="s">
        <v>256</v>
      </c>
      <c r="C39" s="62" t="s">
        <v>17</v>
      </c>
      <c r="D39" s="109">
        <v>125713</v>
      </c>
      <c r="E39" s="110">
        <v>124837.23000000001</v>
      </c>
      <c r="F39" s="110"/>
      <c r="G39" s="110"/>
      <c r="H39" s="110"/>
      <c r="I39" s="109"/>
      <c r="J39" s="109">
        <v>4986</v>
      </c>
      <c r="K39" s="110">
        <v>4115.68</v>
      </c>
      <c r="L39" s="110"/>
      <c r="M39" s="110"/>
      <c r="N39" s="110"/>
      <c r="O39" s="109"/>
      <c r="P39" s="109">
        <v>17681</v>
      </c>
      <c r="Q39" s="110">
        <v>13306.36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304611</v>
      </c>
      <c r="AT39" s="113">
        <v>3914</v>
      </c>
      <c r="AU39" s="113"/>
      <c r="AV39" s="113"/>
      <c r="AW39" s="318"/>
    </row>
    <row r="40" spans="1:49" x14ac:dyDescent="0.2">
      <c r="B40" s="158" t="s">
        <v>257</v>
      </c>
      <c r="C40" s="62" t="s">
        <v>38</v>
      </c>
      <c r="D40" s="109">
        <v>551999</v>
      </c>
      <c r="E40" s="110">
        <v>550912.65000000014</v>
      </c>
      <c r="F40" s="110"/>
      <c r="G40" s="110"/>
      <c r="H40" s="110"/>
      <c r="I40" s="109"/>
      <c r="J40" s="109">
        <v>48406</v>
      </c>
      <c r="K40" s="110">
        <v>31326.719999999987</v>
      </c>
      <c r="L40" s="110"/>
      <c r="M40" s="110"/>
      <c r="N40" s="110"/>
      <c r="O40" s="109"/>
      <c r="P40" s="109">
        <v>333055</v>
      </c>
      <c r="Q40" s="110">
        <v>109087.31000000003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1377737</v>
      </c>
      <c r="AT40" s="113">
        <v>69481</v>
      </c>
      <c r="AU40" s="113"/>
      <c r="AV40" s="113"/>
      <c r="AW40" s="318"/>
    </row>
    <row r="41" spans="1:49" s="5" customFormat="1" ht="25.5" x14ac:dyDescent="0.2">
      <c r="A41" s="35"/>
      <c r="B41" s="158" t="s">
        <v>258</v>
      </c>
      <c r="C41" s="62" t="s">
        <v>129</v>
      </c>
      <c r="D41" s="109">
        <v>151371</v>
      </c>
      <c r="E41" s="110">
        <v>145232.54</v>
      </c>
      <c r="F41" s="110"/>
      <c r="G41" s="110"/>
      <c r="H41" s="110"/>
      <c r="I41" s="109"/>
      <c r="J41" s="109">
        <v>4854</v>
      </c>
      <c r="K41" s="110">
        <v>2362.09</v>
      </c>
      <c r="L41" s="110"/>
      <c r="M41" s="110"/>
      <c r="N41" s="110"/>
      <c r="O41" s="109"/>
      <c r="P41" s="109">
        <v>20248</v>
      </c>
      <c r="Q41" s="110">
        <v>7537.6399999999994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193148</v>
      </c>
      <c r="AT41" s="113">
        <v>14051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950341</v>
      </c>
      <c r="E44" s="118">
        <v>912878.62269576441</v>
      </c>
      <c r="F44" s="118"/>
      <c r="G44" s="118"/>
      <c r="H44" s="118"/>
      <c r="I44" s="117"/>
      <c r="J44" s="117">
        <v>53607</v>
      </c>
      <c r="K44" s="118">
        <v>28103.353757384255</v>
      </c>
      <c r="L44" s="118"/>
      <c r="M44" s="118"/>
      <c r="N44" s="118"/>
      <c r="O44" s="117"/>
      <c r="P44" s="117">
        <v>196564</v>
      </c>
      <c r="Q44" s="118">
        <v>72610.585760129048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2159083</v>
      </c>
      <c r="AT44" s="119">
        <v>11158</v>
      </c>
      <c r="AU44" s="119"/>
      <c r="AV44" s="119"/>
      <c r="AW44" s="317"/>
    </row>
    <row r="45" spans="1:49" x14ac:dyDescent="0.2">
      <c r="B45" s="161" t="s">
        <v>262</v>
      </c>
      <c r="C45" s="62" t="s">
        <v>19</v>
      </c>
      <c r="D45" s="109">
        <v>1024973</v>
      </c>
      <c r="E45" s="110">
        <v>984568.63435371697</v>
      </c>
      <c r="F45" s="110"/>
      <c r="G45" s="110"/>
      <c r="H45" s="110"/>
      <c r="I45" s="109"/>
      <c r="J45" s="109">
        <v>70762</v>
      </c>
      <c r="K45" s="110">
        <v>37096.825388102763</v>
      </c>
      <c r="L45" s="110"/>
      <c r="M45" s="110"/>
      <c r="N45" s="110"/>
      <c r="O45" s="109"/>
      <c r="P45" s="109">
        <v>715012</v>
      </c>
      <c r="Q45" s="110">
        <v>264124.86592418444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1123877</v>
      </c>
      <c r="AT45" s="113">
        <v>141221</v>
      </c>
      <c r="AU45" s="113"/>
      <c r="AV45" s="113"/>
      <c r="AW45" s="318"/>
    </row>
    <row r="46" spans="1:49" x14ac:dyDescent="0.2">
      <c r="B46" s="161" t="s">
        <v>263</v>
      </c>
      <c r="C46" s="62" t="s">
        <v>20</v>
      </c>
      <c r="D46" s="109">
        <v>1218555</v>
      </c>
      <c r="E46" s="110">
        <v>1170519.64513689</v>
      </c>
      <c r="F46" s="110"/>
      <c r="G46" s="110"/>
      <c r="H46" s="110"/>
      <c r="I46" s="109"/>
      <c r="J46" s="109">
        <v>40332</v>
      </c>
      <c r="K46" s="110">
        <v>21143.963731281769</v>
      </c>
      <c r="L46" s="110"/>
      <c r="M46" s="110"/>
      <c r="N46" s="110"/>
      <c r="O46" s="109"/>
      <c r="P46" s="109">
        <v>146048</v>
      </c>
      <c r="Q46" s="110">
        <v>53950.015410224296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2148689</v>
      </c>
      <c r="AT46" s="113">
        <v>26362</v>
      </c>
      <c r="AU46" s="113"/>
      <c r="AV46" s="113"/>
      <c r="AW46" s="318"/>
    </row>
    <row r="47" spans="1:49" x14ac:dyDescent="0.2">
      <c r="B47" s="161" t="s">
        <v>264</v>
      </c>
      <c r="C47" s="62" t="s">
        <v>21</v>
      </c>
      <c r="D47" s="109">
        <v>2962311</v>
      </c>
      <c r="E47" s="110">
        <v>2845536.9027291387</v>
      </c>
      <c r="F47" s="110"/>
      <c r="G47" s="110"/>
      <c r="H47" s="110"/>
      <c r="I47" s="109"/>
      <c r="J47" s="109">
        <v>128811</v>
      </c>
      <c r="K47" s="110">
        <v>67528.888034070609</v>
      </c>
      <c r="L47" s="110"/>
      <c r="M47" s="110"/>
      <c r="N47" s="110"/>
      <c r="O47" s="109"/>
      <c r="P47" s="109">
        <v>194058</v>
      </c>
      <c r="Q47" s="110">
        <v>71684.871346935979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427403</v>
      </c>
      <c r="AT47" s="113">
        <v>1300828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284298.57659000007</v>
      </c>
      <c r="E49" s="110">
        <v>9440.9267105484905</v>
      </c>
      <c r="F49" s="110"/>
      <c r="G49" s="110"/>
      <c r="H49" s="110"/>
      <c r="I49" s="109"/>
      <c r="J49" s="109">
        <v>-39668.700169999996</v>
      </c>
      <c r="K49" s="110">
        <v>-22715.103340447862</v>
      </c>
      <c r="L49" s="110"/>
      <c r="M49" s="110"/>
      <c r="N49" s="110"/>
      <c r="O49" s="109"/>
      <c r="P49" s="109">
        <v>100274.59265000001</v>
      </c>
      <c r="Q49" s="110">
        <v>18871.967413105558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295081.51650000003</v>
      </c>
      <c r="AT49" s="113">
        <v>88243.602360000019</v>
      </c>
      <c r="AU49" s="113"/>
      <c r="AV49" s="113"/>
      <c r="AW49" s="318"/>
    </row>
    <row r="50" spans="2:49" ht="25.5" x14ac:dyDescent="0.2">
      <c r="B50" s="155" t="s">
        <v>266</v>
      </c>
      <c r="C50" s="62"/>
      <c r="D50" s="109">
        <v>4189.13</v>
      </c>
      <c r="E50" s="110">
        <v>4023.9947815505252</v>
      </c>
      <c r="F50" s="110"/>
      <c r="G50" s="110"/>
      <c r="H50" s="110"/>
      <c r="I50" s="109"/>
      <c r="J50" s="109">
        <v>165.09999999999994</v>
      </c>
      <c r="K50" s="110">
        <v>86.553317763429007</v>
      </c>
      <c r="L50" s="110"/>
      <c r="M50" s="110"/>
      <c r="N50" s="110"/>
      <c r="O50" s="109"/>
      <c r="P50" s="109">
        <v>679.27</v>
      </c>
      <c r="Q50" s="110">
        <v>250.92179946115698</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4503.7100000000009</v>
      </c>
      <c r="AT50" s="113">
        <v>356.42999999999995</v>
      </c>
      <c r="AU50" s="113"/>
      <c r="AV50" s="113"/>
      <c r="AW50" s="318"/>
    </row>
    <row r="51" spans="2:49" x14ac:dyDescent="0.2">
      <c r="B51" s="155" t="s">
        <v>267</v>
      </c>
      <c r="C51" s="62"/>
      <c r="D51" s="109">
        <v>8946323</v>
      </c>
      <c r="E51" s="110">
        <v>8593659.5584442206</v>
      </c>
      <c r="F51" s="110"/>
      <c r="G51" s="110"/>
      <c r="H51" s="110"/>
      <c r="I51" s="109"/>
      <c r="J51" s="109">
        <v>371219</v>
      </c>
      <c r="K51" s="110">
        <v>194610.7575216376</v>
      </c>
      <c r="L51" s="110"/>
      <c r="M51" s="110"/>
      <c r="N51" s="110"/>
      <c r="O51" s="109"/>
      <c r="P51" s="109">
        <v>1423419</v>
      </c>
      <c r="Q51" s="110">
        <v>525809.85008494509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4943002</v>
      </c>
      <c r="AT51" s="113">
        <v>793819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19197</v>
      </c>
      <c r="E56" s="122">
        <v>14864</v>
      </c>
      <c r="F56" s="122"/>
      <c r="G56" s="122"/>
      <c r="H56" s="122"/>
      <c r="I56" s="121"/>
      <c r="J56" s="121">
        <v>419</v>
      </c>
      <c r="K56" s="122">
        <v>415</v>
      </c>
      <c r="L56" s="122"/>
      <c r="M56" s="122"/>
      <c r="N56" s="122"/>
      <c r="O56" s="121"/>
      <c r="P56" s="121">
        <v>889</v>
      </c>
      <c r="Q56" s="122">
        <v>781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13648</v>
      </c>
      <c r="AT56" s="123">
        <v>15585</v>
      </c>
      <c r="AU56" s="123"/>
      <c r="AV56" s="123"/>
      <c r="AW56" s="309"/>
    </row>
    <row r="57" spans="2:49" x14ac:dyDescent="0.2">
      <c r="B57" s="161" t="s">
        <v>273</v>
      </c>
      <c r="C57" s="62" t="s">
        <v>25</v>
      </c>
      <c r="D57" s="124">
        <v>32601</v>
      </c>
      <c r="E57" s="125">
        <v>25441</v>
      </c>
      <c r="F57" s="125"/>
      <c r="G57" s="125"/>
      <c r="H57" s="125"/>
      <c r="I57" s="124"/>
      <c r="J57" s="124">
        <v>959</v>
      </c>
      <c r="K57" s="125">
        <v>679</v>
      </c>
      <c r="L57" s="125"/>
      <c r="M57" s="125"/>
      <c r="N57" s="125"/>
      <c r="O57" s="124"/>
      <c r="P57" s="124">
        <v>4381</v>
      </c>
      <c r="Q57" s="125">
        <v>1796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13648</v>
      </c>
      <c r="AT57" s="126">
        <v>26250</v>
      </c>
      <c r="AU57" s="126"/>
      <c r="AV57" s="126"/>
      <c r="AW57" s="310"/>
    </row>
    <row r="58" spans="2:49" x14ac:dyDescent="0.2">
      <c r="B58" s="161" t="s">
        <v>274</v>
      </c>
      <c r="C58" s="62" t="s">
        <v>26</v>
      </c>
      <c r="D58" s="330"/>
      <c r="E58" s="331"/>
      <c r="F58" s="331"/>
      <c r="G58" s="331"/>
      <c r="H58" s="331"/>
      <c r="I58" s="330"/>
      <c r="J58" s="124">
        <v>122</v>
      </c>
      <c r="K58" s="125">
        <v>122</v>
      </c>
      <c r="L58" s="125"/>
      <c r="M58" s="125"/>
      <c r="N58" s="125"/>
      <c r="O58" s="124"/>
      <c r="P58" s="124">
        <v>23</v>
      </c>
      <c r="Q58" s="125">
        <v>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124</v>
      </c>
      <c r="AT58" s="126">
        <v>15</v>
      </c>
      <c r="AU58" s="126"/>
      <c r="AV58" s="126"/>
      <c r="AW58" s="310"/>
    </row>
    <row r="59" spans="2:49" x14ac:dyDescent="0.2">
      <c r="B59" s="161" t="s">
        <v>275</v>
      </c>
      <c r="C59" s="62" t="s">
        <v>27</v>
      </c>
      <c r="D59" s="124">
        <v>430790</v>
      </c>
      <c r="E59" s="125">
        <v>332719</v>
      </c>
      <c r="F59" s="125"/>
      <c r="G59" s="125"/>
      <c r="H59" s="125"/>
      <c r="I59" s="124"/>
      <c r="J59" s="124">
        <v>15007</v>
      </c>
      <c r="K59" s="125">
        <v>7632</v>
      </c>
      <c r="L59" s="125"/>
      <c r="M59" s="125"/>
      <c r="N59" s="125"/>
      <c r="O59" s="124"/>
      <c r="P59" s="124">
        <v>57969</v>
      </c>
      <c r="Q59" s="125">
        <v>21526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160431</v>
      </c>
      <c r="AT59" s="126">
        <v>398963</v>
      </c>
      <c r="AU59" s="126"/>
      <c r="AV59" s="126"/>
      <c r="AW59" s="310"/>
    </row>
    <row r="60" spans="2:49" x14ac:dyDescent="0.2">
      <c r="B60" s="161" t="s">
        <v>276</v>
      </c>
      <c r="C60" s="62"/>
      <c r="D60" s="127">
        <f t="shared" ref="D60:AC60" si="0">D$59/12</f>
        <v>35899.166666666664</v>
      </c>
      <c r="E60" s="128">
        <f t="shared" si="0"/>
        <v>27726.583333333332</v>
      </c>
      <c r="F60" s="128">
        <f t="shared" si="0"/>
        <v>0</v>
      </c>
      <c r="G60" s="128">
        <f t="shared" si="0"/>
        <v>0</v>
      </c>
      <c r="H60" s="128">
        <f t="shared" si="0"/>
        <v>0</v>
      </c>
      <c r="I60" s="127">
        <f t="shared" si="0"/>
        <v>0</v>
      </c>
      <c r="J60" s="127">
        <f t="shared" si="0"/>
        <v>1250.5833333333333</v>
      </c>
      <c r="K60" s="128">
        <f t="shared" si="0"/>
        <v>636</v>
      </c>
      <c r="L60" s="128">
        <f t="shared" si="0"/>
        <v>0</v>
      </c>
      <c r="M60" s="128">
        <f t="shared" si="0"/>
        <v>0</v>
      </c>
      <c r="N60" s="128">
        <f t="shared" si="0"/>
        <v>0</v>
      </c>
      <c r="O60" s="127">
        <f t="shared" si="0"/>
        <v>0</v>
      </c>
      <c r="P60" s="127">
        <f t="shared" si="0"/>
        <v>4830.75</v>
      </c>
      <c r="Q60" s="128">
        <f t="shared" si="0"/>
        <v>1793.8333333333333</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13369.25</v>
      </c>
      <c r="AT60" s="129">
        <f t="shared" si="1"/>
        <v>33246.916666666664</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4138345.9999999995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1591504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77502159</v>
      </c>
      <c r="E5" s="118">
        <v>74908404.299635202</v>
      </c>
      <c r="F5" s="118"/>
      <c r="G5" s="130"/>
      <c r="H5" s="130"/>
      <c r="I5" s="117"/>
      <c r="J5" s="117">
        <v>9666125</v>
      </c>
      <c r="K5" s="118">
        <v>5754879.8712284015</v>
      </c>
      <c r="L5" s="118"/>
      <c r="M5" s="118"/>
      <c r="N5" s="118"/>
      <c r="O5" s="117"/>
      <c r="P5" s="117">
        <v>26242018</v>
      </c>
      <c r="Q5" s="118">
        <v>9821564.8295130022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164474733</v>
      </c>
      <c r="AT5" s="119">
        <v>13478579</v>
      </c>
      <c r="AU5" s="119"/>
      <c r="AV5" s="312"/>
      <c r="AW5" s="317"/>
    </row>
    <row r="6" spans="2:49" x14ac:dyDescent="0.2">
      <c r="B6" s="176" t="s">
        <v>279</v>
      </c>
      <c r="C6" s="133" t="s">
        <v>8</v>
      </c>
      <c r="D6" s="109">
        <v>803516</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563700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3520.6800000125077</v>
      </c>
      <c r="E9" s="288"/>
      <c r="F9" s="288"/>
      <c r="G9" s="288"/>
      <c r="H9" s="288"/>
      <c r="I9" s="292"/>
      <c r="J9" s="109">
        <v>-3520.5500000001048</v>
      </c>
      <c r="K9" s="288"/>
      <c r="L9" s="288"/>
      <c r="M9" s="288"/>
      <c r="N9" s="288"/>
      <c r="O9" s="292"/>
      <c r="P9" s="109">
        <v>-6076344</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0.31999999983236194</v>
      </c>
      <c r="E11" s="110"/>
      <c r="F11" s="110"/>
      <c r="G11" s="110"/>
      <c r="H11" s="110"/>
      <c r="I11" s="109"/>
      <c r="J11" s="109">
        <v>-0.33000000007450581</v>
      </c>
      <c r="K11" s="110"/>
      <c r="L11" s="110"/>
      <c r="M11" s="110"/>
      <c r="N11" s="110"/>
      <c r="O11" s="109"/>
      <c r="P11" s="109"/>
      <c r="Q11" s="110">
        <v>-106433.76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1641266</v>
      </c>
      <c r="AT11" s="113"/>
      <c r="AU11" s="113"/>
      <c r="AV11" s="311"/>
      <c r="AW11" s="318"/>
    </row>
    <row r="12" spans="2:49" x14ac:dyDescent="0.2">
      <c r="B12" s="176" t="s">
        <v>283</v>
      </c>
      <c r="C12" s="133" t="s">
        <v>44</v>
      </c>
      <c r="D12" s="109">
        <v>5.0000011920928955E-2</v>
      </c>
      <c r="E12" s="289"/>
      <c r="F12" s="289"/>
      <c r="G12" s="289"/>
      <c r="H12" s="289"/>
      <c r="I12" s="293"/>
      <c r="J12" s="109">
        <v>0.41999999992549419</v>
      </c>
      <c r="K12" s="289"/>
      <c r="L12" s="289"/>
      <c r="M12" s="289"/>
      <c r="N12" s="289"/>
      <c r="O12" s="293"/>
      <c r="P12" s="109">
        <v>-5956939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953313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547055.65999999992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164111.48000000001</v>
      </c>
      <c r="F16" s="110"/>
      <c r="G16" s="110"/>
      <c r="H16" s="110"/>
      <c r="I16" s="109"/>
      <c r="J16" s="109"/>
      <c r="K16" s="110">
        <v>-116650.43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60415115</v>
      </c>
      <c r="E23" s="288"/>
      <c r="F23" s="288"/>
      <c r="G23" s="288"/>
      <c r="H23" s="288"/>
      <c r="I23" s="292"/>
      <c r="J23" s="109">
        <v>5988044</v>
      </c>
      <c r="K23" s="288"/>
      <c r="L23" s="288"/>
      <c r="M23" s="288"/>
      <c r="N23" s="288"/>
      <c r="O23" s="292"/>
      <c r="P23" s="109">
        <v>28066526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138813175</v>
      </c>
      <c r="AT23" s="113">
        <v>6997928</v>
      </c>
      <c r="AU23" s="113"/>
      <c r="AV23" s="311"/>
      <c r="AW23" s="318"/>
    </row>
    <row r="24" spans="2:49" ht="28.5" customHeight="1" x14ac:dyDescent="0.2">
      <c r="B24" s="178" t="s">
        <v>114</v>
      </c>
      <c r="C24" s="133"/>
      <c r="D24" s="293"/>
      <c r="E24" s="110">
        <v>59662315.560000002</v>
      </c>
      <c r="F24" s="110"/>
      <c r="G24" s="110"/>
      <c r="H24" s="110"/>
      <c r="I24" s="109"/>
      <c r="J24" s="293"/>
      <c r="K24" s="110">
        <v>4651422.59</v>
      </c>
      <c r="L24" s="110"/>
      <c r="M24" s="110"/>
      <c r="N24" s="110"/>
      <c r="O24" s="109"/>
      <c r="P24" s="293"/>
      <c r="Q24" s="110">
        <v>8774296.0199999996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8169018</v>
      </c>
      <c r="E26" s="288"/>
      <c r="F26" s="288"/>
      <c r="G26" s="288"/>
      <c r="H26" s="288"/>
      <c r="I26" s="292"/>
      <c r="J26" s="109">
        <v>1090572</v>
      </c>
      <c r="K26" s="288"/>
      <c r="L26" s="288"/>
      <c r="M26" s="288"/>
      <c r="N26" s="288"/>
      <c r="O26" s="292"/>
      <c r="P26" s="109">
        <v>3191882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14061386</v>
      </c>
      <c r="AT26" s="113">
        <v>1522532</v>
      </c>
      <c r="AU26" s="113"/>
      <c r="AV26" s="311"/>
      <c r="AW26" s="318"/>
    </row>
    <row r="27" spans="2:49" s="5" customFormat="1" ht="25.5" x14ac:dyDescent="0.2">
      <c r="B27" s="178" t="s">
        <v>85</v>
      </c>
      <c r="C27" s="133"/>
      <c r="D27" s="293"/>
      <c r="E27" s="110">
        <v>889397.06874539936</v>
      </c>
      <c r="F27" s="110"/>
      <c r="G27" s="110"/>
      <c r="H27" s="110"/>
      <c r="I27" s="109"/>
      <c r="J27" s="293"/>
      <c r="K27" s="110">
        <v>57640.012660803637</v>
      </c>
      <c r="L27" s="110"/>
      <c r="M27" s="110"/>
      <c r="N27" s="110"/>
      <c r="O27" s="109"/>
      <c r="P27" s="293"/>
      <c r="Q27" s="110">
        <v>149895.64019379765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9306191</v>
      </c>
      <c r="E28" s="289"/>
      <c r="F28" s="289"/>
      <c r="G28" s="289"/>
      <c r="H28" s="289"/>
      <c r="I28" s="293"/>
      <c r="J28" s="109">
        <v>979771.00000000012</v>
      </c>
      <c r="K28" s="289"/>
      <c r="L28" s="289"/>
      <c r="M28" s="289"/>
      <c r="N28" s="289"/>
      <c r="O28" s="293"/>
      <c r="P28" s="109">
        <v>3020866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13067682</v>
      </c>
      <c r="AT28" s="113">
        <v>1433216.0000000002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9677</v>
      </c>
      <c r="K30" s="288"/>
      <c r="L30" s="288"/>
      <c r="M30" s="288"/>
      <c r="N30" s="288"/>
      <c r="O30" s="292"/>
      <c r="P30" s="109">
        <v>323</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9677.39</v>
      </c>
      <c r="L31" s="110"/>
      <c r="M31" s="110"/>
      <c r="N31" s="110"/>
      <c r="O31" s="109"/>
      <c r="P31" s="293"/>
      <c r="Q31" s="110">
        <v>-9677.39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10000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4609426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567177</v>
      </c>
      <c r="AU34" s="113"/>
      <c r="AV34" s="311"/>
      <c r="AW34" s="318"/>
    </row>
    <row r="35" spans="2:49" s="5" customFormat="1" x14ac:dyDescent="0.2">
      <c r="B35" s="178" t="s">
        <v>91</v>
      </c>
      <c r="C35" s="133"/>
      <c r="D35" s="293"/>
      <c r="E35" s="110">
        <v>4609426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5864943</v>
      </c>
      <c r="E36" s="110">
        <v>5864943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285231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1556578</v>
      </c>
      <c r="E38" s="288"/>
      <c r="F38" s="288"/>
      <c r="G38" s="288"/>
      <c r="H38" s="288"/>
      <c r="I38" s="292"/>
      <c r="J38" s="109">
        <v>428555</v>
      </c>
      <c r="K38" s="288"/>
      <c r="L38" s="288"/>
      <c r="M38" s="288"/>
      <c r="N38" s="288"/>
      <c r="O38" s="292"/>
      <c r="P38" s="109">
        <v>-6076344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2396736</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1581503</v>
      </c>
      <c r="E41" s="288"/>
      <c r="F41" s="288"/>
      <c r="G41" s="288"/>
      <c r="H41" s="288"/>
      <c r="I41" s="292"/>
      <c r="J41" s="109">
        <v>752109</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1641266</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-106433.76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1869718</v>
      </c>
      <c r="E43" s="289"/>
      <c r="F43" s="289"/>
      <c r="G43" s="289"/>
      <c r="H43" s="289"/>
      <c r="I43" s="293"/>
      <c r="J43" s="109">
        <v>1307865</v>
      </c>
      <c r="K43" s="289"/>
      <c r="L43" s="289"/>
      <c r="M43" s="289"/>
      <c r="N43" s="289"/>
      <c r="O43" s="293"/>
      <c r="P43" s="109">
        <v>-5956939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953313</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276424</v>
      </c>
      <c r="E49" s="110">
        <v>1035818.3099999998</v>
      </c>
      <c r="F49" s="110"/>
      <c r="G49" s="110"/>
      <c r="H49" s="110"/>
      <c r="I49" s="109"/>
      <c r="J49" s="109">
        <v>-236196</v>
      </c>
      <c r="K49" s="110">
        <v>119081.98000000001</v>
      </c>
      <c r="L49" s="110"/>
      <c r="M49" s="110"/>
      <c r="N49" s="110"/>
      <c r="O49" s="109"/>
      <c r="P49" s="109">
        <v>3185747</v>
      </c>
      <c r="Q49" s="110">
        <v>163680.76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520865</v>
      </c>
      <c r="AT49" s="113">
        <v>295</v>
      </c>
      <c r="AU49" s="113"/>
      <c r="AV49" s="311"/>
      <c r="AW49" s="318"/>
    </row>
    <row r="50" spans="2:49" x14ac:dyDescent="0.2">
      <c r="B50" s="176" t="s">
        <v>119</v>
      </c>
      <c r="C50" s="133" t="s">
        <v>34</v>
      </c>
      <c r="D50" s="109">
        <v>265327</v>
      </c>
      <c r="E50" s="289"/>
      <c r="F50" s="289"/>
      <c r="G50" s="289"/>
      <c r="H50" s="289"/>
      <c r="I50" s="293"/>
      <c r="J50" s="109">
        <v>23501</v>
      </c>
      <c r="K50" s="289"/>
      <c r="L50" s="289"/>
      <c r="M50" s="289"/>
      <c r="N50" s="289"/>
      <c r="O50" s="293"/>
      <c r="P50" s="109">
        <v>108624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310594</v>
      </c>
      <c r="AT50" s="113">
        <v>239.00000000000003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-14666</v>
      </c>
      <c r="L53" s="110"/>
      <c r="M53" s="110"/>
      <c r="N53" s="110"/>
      <c r="O53" s="109"/>
      <c r="P53" s="109"/>
      <c r="Q53" s="110">
        <v>-395786</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59279691</v>
      </c>
      <c r="E54" s="115">
        <f>E24+E27+E31+E35-E36+E39+E42+E45+E46-E49+E51+E52+E53</f>
        <v>58260377.318745397</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6231018</v>
      </c>
      <c r="K54" s="115">
        <f>K24+K27+K31+K35-K36+K39+K42+K45+K46-K49+K51+K52+K53</f>
        <v>4584992.0126608023</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25041337</v>
      </c>
      <c r="Q54" s="115">
        <f>Q24+Q27+Q31+Q35-Q36+Q39+Q42+Q45+Q46-Q49+Q51+Q52+Q53</f>
        <v>8248613.7501937971</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142681297</v>
      </c>
      <c r="AT54" s="116">
        <f>AT23+AT26-AT28+AT30-AT32+AT34-AT36+AT38+AT41-AT43+AT45+AT46-AT47-AT49+AT50+AT51+AT52+AT53</f>
        <v>7369134</v>
      </c>
      <c r="AU54" s="116">
        <f>AU23+AU26-AU28+AU30-AU32+AU34-AU36+AU38+AU41-AU43+AU45+AU46-AU47-AU49+AU50+AU51+AU52+AU53</f>
        <v>0</v>
      </c>
      <c r="AV54" s="311"/>
      <c r="AW54" s="318"/>
    </row>
    <row r="55" spans="2:49" ht="25.5" x14ac:dyDescent="0.2">
      <c r="B55" s="181" t="s">
        <v>304</v>
      </c>
      <c r="C55" s="137" t="s">
        <v>28</v>
      </c>
      <c r="D55" s="114">
        <f t="shared" ref="D55:AC55" si="0">MIN(MAX(0,D56),MAX(0,D57))</f>
        <v>120877</v>
      </c>
      <c r="E55" s="115">
        <f t="shared" si="0"/>
        <v>116194.33</v>
      </c>
      <c r="F55" s="115">
        <f t="shared" si="0"/>
        <v>0</v>
      </c>
      <c r="G55" s="115">
        <f t="shared" si="0"/>
        <v>0</v>
      </c>
      <c r="H55" s="115">
        <f t="shared" si="0"/>
        <v>0</v>
      </c>
      <c r="I55" s="114">
        <f t="shared" si="0"/>
        <v>0</v>
      </c>
      <c r="J55" s="114">
        <f t="shared" si="0"/>
        <v>4490</v>
      </c>
      <c r="K55" s="115">
        <f t="shared" si="0"/>
        <v>4414.72</v>
      </c>
      <c r="L55" s="115">
        <f t="shared" si="0"/>
        <v>0</v>
      </c>
      <c r="M55" s="115">
        <f t="shared" si="0"/>
        <v>0</v>
      </c>
      <c r="N55" s="115">
        <f t="shared" si="0"/>
        <v>0</v>
      </c>
      <c r="O55" s="114">
        <f t="shared" si="0"/>
        <v>0</v>
      </c>
      <c r="P55" s="114">
        <f t="shared" si="0"/>
        <v>19471</v>
      </c>
      <c r="Q55" s="115">
        <f t="shared" si="0"/>
        <v>19079.78</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120877</v>
      </c>
      <c r="E56" s="110">
        <v>116194.33</v>
      </c>
      <c r="F56" s="110"/>
      <c r="G56" s="110"/>
      <c r="H56" s="110"/>
      <c r="I56" s="109"/>
      <c r="J56" s="109">
        <v>4490</v>
      </c>
      <c r="K56" s="110">
        <v>4414.72</v>
      </c>
      <c r="L56" s="110"/>
      <c r="M56" s="110"/>
      <c r="N56" s="110"/>
      <c r="O56" s="109"/>
      <c r="P56" s="109">
        <v>19471</v>
      </c>
      <c r="Q56" s="110">
        <v>19079.78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160825</v>
      </c>
      <c r="E57" s="110">
        <v>155128.59</v>
      </c>
      <c r="F57" s="110"/>
      <c r="G57" s="110"/>
      <c r="H57" s="110"/>
      <c r="I57" s="109"/>
      <c r="J57" s="109">
        <v>121271</v>
      </c>
      <c r="K57" s="110">
        <v>25010.67</v>
      </c>
      <c r="L57" s="110"/>
      <c r="M57" s="110"/>
      <c r="N57" s="110"/>
      <c r="O57" s="109"/>
      <c r="P57" s="109">
        <v>89281</v>
      </c>
      <c r="Q57" s="110">
        <v>33594.54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1351537</v>
      </c>
      <c r="AT57" s="113">
        <v>56865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72059109.219999999</v>
      </c>
      <c r="D5" s="118">
        <v>69238106.565475211</v>
      </c>
      <c r="E5" s="346"/>
      <c r="F5" s="346"/>
      <c r="G5" s="312"/>
      <c r="H5" s="117">
        <v>5277375.88</v>
      </c>
      <c r="I5" s="118">
        <v>4264427.0533051929</v>
      </c>
      <c r="J5" s="346"/>
      <c r="K5" s="346"/>
      <c r="L5" s="312"/>
      <c r="M5" s="117">
        <v>33178479.190000001</v>
      </c>
      <c r="N5" s="118">
        <v>19939324.684319612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72197888.49000001</v>
      </c>
      <c r="D6" s="110">
        <v>69113793.587005138</v>
      </c>
      <c r="E6" s="115">
        <f>SUM('Pt 1 Summary of Data'!E$12,'Pt 1 Summary of Data'!E$22)+SUM('Pt 1 Summary of Data'!G$12,'Pt 1 Summary of Data'!G$22)-SUM('Pt 1 Summary of Data'!H$12,'Pt 1 Summary of Data'!H$22)</f>
        <v>58376571.648745395</v>
      </c>
      <c r="F6" s="115">
        <f t="shared" ref="F6:F11" si="0">SUM(C6:E6)</f>
        <v>199688253.72575054</v>
      </c>
      <c r="G6" s="116">
        <f>SUM('Pt 1 Summary of Data'!I$12,'Pt 1 Summary of Data'!I$22)</f>
        <v>0</v>
      </c>
      <c r="H6" s="109">
        <v>5322924.63</v>
      </c>
      <c r="I6" s="110">
        <v>4267996.7426322447</v>
      </c>
      <c r="J6" s="115">
        <f>SUM('Pt 1 Summary of Data'!K$12,'Pt 1 Summary of Data'!K$22)+SUM('Pt 1 Summary of Data'!M$12,'Pt 1 Summary of Data'!M$22)-SUM('Pt 1 Summary of Data'!N$12,'Pt 1 Summary of Data'!N$22)</f>
        <v>4589406.7326608021</v>
      </c>
      <c r="K6" s="115">
        <f>SUM(H6:J6)</f>
        <v>14180328.105293047</v>
      </c>
      <c r="L6" s="116">
        <f>SUM('Pt 1 Summary of Data'!O$12,'Pt 1 Summary of Data'!O$22)</f>
        <v>0</v>
      </c>
      <c r="M6" s="109">
        <v>32946730.910000004</v>
      </c>
      <c r="N6" s="110">
        <v>20136397.264262643</v>
      </c>
      <c r="O6" s="115">
        <f>SUM('Pt 1 Summary of Data'!Q$12,'Pt 1 Summary of Data'!Q$22)+SUM('Pt 1 Summary of Data'!S$12,'Pt 1 Summary of Data'!S$22)-SUM('Pt 1 Summary of Data'!T$12,'Pt 1 Summary of Data'!T$22)</f>
        <v>8267693.5301937973</v>
      </c>
      <c r="P6" s="115">
        <f>SUM(M6:O6)</f>
        <v>61350821.704456441</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1905251.4100000001</v>
      </c>
      <c r="D7" s="110">
        <v>2005033.63</v>
      </c>
      <c r="E7" s="115">
        <f>SUM('Pt 1 Summary of Data'!E$37:E$41)+SUM('Pt 1 Summary of Data'!G$37:G$41)-SUM('Pt 1 Summary of Data'!H$37:H$41)+MAX(0,MIN('Pt 1 Summary of Data'!E$42+'Pt 1 Summary of Data'!G$42-'Pt 1 Summary of Data'!H$42,0.3%*('Pt 1 Summary of Data'!E$5+'Pt 1 Summary of Data'!G$5-'Pt 1 Summary of Data'!H$5-SUM(E$9:E$11))))</f>
        <v>1256755.6300000001</v>
      </c>
      <c r="F7" s="115">
        <f t="shared" si="0"/>
        <v>5167040.67</v>
      </c>
      <c r="G7" s="116">
        <f>SUM('Pt 1 Summary of Data'!I$37:I$41)+MAX(0,MIN('Pt 1 Summary of Data'!I$42,0.3%*('Pt 1 Summary of Data'!I$5-SUM(G$9:G$10))))</f>
        <v>0</v>
      </c>
      <c r="H7" s="109">
        <v>113481.40000000001</v>
      </c>
      <c r="I7" s="110">
        <v>85614.739999999991</v>
      </c>
      <c r="J7" s="115">
        <f>SUM('Pt 1 Summary of Data'!K$37:K$41)+SUM('Pt 1 Summary of Data'!M$37:M$41)-SUM('Pt 1 Summary of Data'!N$37:N$41)+MAX(0,MIN('Pt 1 Summary of Data'!K$42+'Pt 1 Summary of Data'!M$42-'Pt 1 Summary of Data'!N$42,0.3%*('Pt 1 Summary of Data'!K$5+'Pt 1 Summary of Data'!M$5-'Pt 1 Summary of Data'!N$5-SUM(J$10:J$11))))</f>
        <v>57781.739999999991</v>
      </c>
      <c r="K7" s="115">
        <f>SUM(H7:J7)</f>
        <v>256877.88</v>
      </c>
      <c r="L7" s="116">
        <f>SUM('Pt 1 Summary of Data'!O$37:O$41)+MAX(0,MIN('Pt 1 Summary of Data'!O$42,0.3%*('Pt 1 Summary of Data'!O$5-L$10)))</f>
        <v>0</v>
      </c>
      <c r="M7" s="109">
        <v>736558.64000000013</v>
      </c>
      <c r="N7" s="110">
        <v>419938.53</v>
      </c>
      <c r="O7" s="115">
        <f>SUM('Pt 1 Summary of Data'!Q$37:Q$41)+SUM('Pt 1 Summary of Data'!S$37:S$41)-SUM('Pt 1 Summary of Data'!T$37:T$41)+MAX(0,MIN('Pt 1 Summary of Data'!Q$42+'Pt 1 Summary of Data'!S$42-'Pt 1 Summary of Data'!T$42,0.3%*('Pt 1 Summary of Data'!Q$5+'Pt 1 Summary of Data'!S$5-'Pt 1 Summary of Data'!T$5)))</f>
        <v>177684.94</v>
      </c>
      <c r="P7" s="115">
        <f>SUM(M7:O7)</f>
        <v>1334182.1100000001</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547055.65999999992</v>
      </c>
      <c r="F9" s="115">
        <f t="shared" si="0"/>
        <v>547055.65999999992</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164111.48000000001</v>
      </c>
      <c r="F10" s="115">
        <f t="shared" si="0"/>
        <v>164111.48000000001</v>
      </c>
      <c r="G10" s="116">
        <f>'Pt 2 Premium and Claims'!I$16</f>
        <v>0</v>
      </c>
      <c r="H10" s="292"/>
      <c r="I10" s="288"/>
      <c r="J10" s="115">
        <f>'Pt 2 Premium and Claims'!K$16+'Pt 2 Premium and Claims'!M$16-'Pt 2 Premium and Claims'!N$16</f>
        <v>-116650.43</v>
      </c>
      <c r="K10" s="115">
        <f>SUM(H10:J10)</f>
        <v>-116650.43</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74103139.900000006</v>
      </c>
      <c r="D12" s="115">
        <f>SUM(D$6:D$7)+IF(AND(OR('Company Information'!$C$12="District of Columbia",'Company Information'!$C$12="Massachusetts",'Company Information'!$C$12="Vermont"),SUM($C$6:$F$11,$C$15:$F$16,$C$37:$D$37)&lt;&gt;0),SUM(I$6:I$7),0)</f>
        <v>71118827.217005134</v>
      </c>
      <c r="E12" s="115">
        <f>SUM(E$6:E$7)-SUM(E$8:E$11)+IF(AND(OR('Company Information'!$C$12="District of Columbia",'Company Information'!$C$12="Massachusetts",'Company Information'!$C$12="Vermont"),SUM($C$6:$F$11,$C$15:$F$16,$C$37:$D$37)&lt;&gt;0),SUM(J$6:J$7)-SUM(J$10:J$11),0)</f>
        <v>58922160.138745397</v>
      </c>
      <c r="F12" s="115">
        <f>IFERROR(SUM(C$12:E$12)+C$17*MAX(0,E$49-C$49)+D$17*MAX(0,E$49-D$49),0)</f>
        <v>204144127.25575054</v>
      </c>
      <c r="G12" s="311"/>
      <c r="H12" s="114">
        <f>SUM(H$6:H$7)+IF(AND(OR('Company Information'!$C$12="District of Columbia",'Company Information'!$C$12="Massachusetts",'Company Information'!$C$12="Vermont"),SUM($H$6:$K$11,$H$15:$K$16,$H$37:$I$37)&lt;&gt;0),SUM(C$6:C$7),0)</f>
        <v>5436406.0300000003</v>
      </c>
      <c r="I12" s="115">
        <f>SUM(I$6:I$7)+IF(AND(OR('Company Information'!$C$12="District of Columbia",'Company Information'!$C$12="Massachusetts",'Company Information'!$C$12="Vermont"),SUM($H$6:$K$11,$H$15:$K$16,$H$37:$I$37)&lt;&gt;0),SUM(D$6:D$7),0)</f>
        <v>4353611.4826322449</v>
      </c>
      <c r="J12" s="115">
        <f>SUM(J$6:J$7)-SUM(J$10:J$11)+IF(AND(OR('Company Information'!$C$12="District of Columbia",'Company Information'!$C$12="Massachusetts",'Company Information'!$C$12="Vermont"),SUM($H$6:$K$11,$H$15:$K$16,$H$37:$I$37)&lt;&gt;0),SUM(E$6:E$7)-SUM(E$8:E$11),0)</f>
        <v>4763838.902660802</v>
      </c>
      <c r="K12" s="115">
        <f>IFERROR(SUM(H$12:J$12)+H$17*MAX(0,J$49-H$49)+I$17*MAX(0,J$49-I$49),0)</f>
        <v>14553856.415293047</v>
      </c>
      <c r="L12" s="311"/>
      <c r="M12" s="114">
        <f>SUM(M$6:M$7)</f>
        <v>33683289.550000004</v>
      </c>
      <c r="N12" s="115">
        <f>SUM(N$6:N$7)</f>
        <v>20556335.794262644</v>
      </c>
      <c r="O12" s="115">
        <f>SUM(O$6:O$7)</f>
        <v>8445378.4701937977</v>
      </c>
      <c r="P12" s="115">
        <f>SUM(M$12:O$12)+M$17*MAX(0,O$49-M$49)+N$17*MAX(0,O$49-N$49)</f>
        <v>62685003.814456441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105461821.06999999</v>
      </c>
      <c r="D15" s="118">
        <v>91835507.852867335</v>
      </c>
      <c r="E15" s="106">
        <f>SUM('Pt 1 Summary of Data'!E$5:E$7)+SUM('Pt 1 Summary of Data'!G$5:G$7)-SUM('Pt 1 Summary of Data'!H$5:H$7)-SUM(E$9:E$11)+D$55</f>
        <v>75714280.335711777</v>
      </c>
      <c r="F15" s="106">
        <f>SUM(C15:E15)</f>
        <v>273011609.25857913</v>
      </c>
      <c r="G15" s="107">
        <f>SUM('Pt 1 Summary of Data'!I$5:I$7)-SUM(G$9:G$10)</f>
        <v>0</v>
      </c>
      <c r="H15" s="117">
        <v>9563903.9800000004</v>
      </c>
      <c r="I15" s="118">
        <v>7678763.4096179456</v>
      </c>
      <c r="J15" s="106">
        <f>SUM('Pt 1 Summary of Data'!K$5:K$7)+SUM('Pt 1 Summary of Data'!M$5:M$7)-SUM('Pt 1 Summary of Data'!N$5:N$7)-SUM(J$10:J$11)+I$55</f>
        <v>5795885.6366705848</v>
      </c>
      <c r="K15" s="106">
        <f>SUM(H15:J15)</f>
        <v>23038553.026288532</v>
      </c>
      <c r="L15" s="107">
        <f>SUM('Pt 1 Summary of Data'!O$5:O$7)-L$10</f>
        <v>0</v>
      </c>
      <c r="M15" s="117">
        <v>38737509.399999999</v>
      </c>
      <c r="N15" s="118">
        <v>24416995.157597158</v>
      </c>
      <c r="O15" s="106">
        <f>SUM('Pt 1 Summary of Data'!Q$5:Q$7)+SUM('Pt 1 Summary of Data'!S$5:S$7)-SUM('Pt 1 Summary of Data'!T$5:T$7)+N$55</f>
        <v>9881507.5812729839</v>
      </c>
      <c r="P15" s="106">
        <f>SUM(M15:O15)</f>
        <v>73036012.13887015</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5447762.5300000003</v>
      </c>
      <c r="D16" s="110">
        <v>64977.220490754684</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2943687.5061859456</v>
      </c>
      <c r="F16" s="115">
        <f>SUM(C16:E16)</f>
        <v>8456427.2566767</v>
      </c>
      <c r="G16" s="116">
        <f>SUM('Pt 1 Summary of Data'!I$25:I$28,'Pt 1 Summary of Data'!I$30,'Pt 1 Summary of Data'!I$34:I$35)+IF('Company Information'!$C$15="No",IF(MAX('Pt 1 Summary of Data'!I$31:I$32)=0,MIN('Pt 1 Summary of Data'!I$31:I$32),MAX('Pt 1 Summary of Data'!I$31:I$32)),SUM('Pt 1 Summary of Data'!I$31:I$32))</f>
        <v>0</v>
      </c>
      <c r="H16" s="109">
        <v>1295579.9100000001</v>
      </c>
      <c r="I16" s="110">
        <v>828032.30072481302</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676863.50595770439</v>
      </c>
      <c r="K16" s="115">
        <f>SUM(H16:J16)</f>
        <v>2800475.7166825174</v>
      </c>
      <c r="L16" s="116">
        <f>SUM('Pt 1 Summary of Data'!O$25:O$28,'Pt 1 Summary of Data'!O$30,'Pt 1 Summary of Data'!O$34:O$35)+IF('Company Information'!$C$15="No",IF(MAX('Pt 1 Summary of Data'!O$31:O$32)=0,MIN('Pt 1 Summary of Data'!O$31:O$32),MAX('Pt 1 Summary of Data'!O$31:O$32)),SUM('Pt 1 Summary of Data'!O$31:O$32))</f>
        <v>0</v>
      </c>
      <c r="M16" s="109">
        <v>1463860.84</v>
      </c>
      <c r="N16" s="110">
        <v>1828491.5507230619</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32850.971268698297</v>
      </c>
      <c r="P16" s="115">
        <f>SUM(M16:O16)</f>
        <v>3325203.3619917599</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100014058.53999999</v>
      </c>
      <c r="D17" s="115">
        <f>D$15-D$16+IF(AND(OR('Company Information'!$C$12="District of Columbia",'Company Information'!$C$12="Massachusetts",'Company Information'!$C$12="Vermont"),SUM($C$6:$F$11,$C$15:$F$16,$C$37:$D$37)&lt;&gt;0),I$15-I$16,0)</f>
        <v>91770530.632376581</v>
      </c>
      <c r="E17" s="115">
        <f>E$15-E$16+IF(AND(OR('Company Information'!$C$12="District of Columbia",'Company Information'!$C$12="Massachusetts",'Company Information'!$C$12="Vermont"),SUM($C$6:$F$11,$C$15:$F$16,$C$37:$D$37)&lt;&gt;0),J$15-J$16,0)</f>
        <v>72770592.829525828</v>
      </c>
      <c r="F17" s="115">
        <f>F$15-F$16+IF(AND(OR('Company Information'!$C$12="District of Columbia",'Company Information'!$C$12="Massachusetts",'Company Information'!$C$12="Vermont"),SUM($C$6:$F$11,$C$15:$F$16,$C$37:$D$37)&lt;&gt;0),K$15-K$16,0)</f>
        <v>264555182.00190243</v>
      </c>
      <c r="G17" s="314"/>
      <c r="H17" s="114">
        <f>H$15-H$16+IF(AND(OR('Company Information'!$C$12="District of Columbia",'Company Information'!$C$12="Massachusetts",'Company Information'!$C$12="Vermont"),SUM($H$6:$K$11,$H$15:$K$16,$H$37:$I$37)&lt;&gt;0),C$15-C$16,0)</f>
        <v>8268324.0700000003</v>
      </c>
      <c r="I17" s="115">
        <f>I$15-I$16+IF(AND(OR('Company Information'!$C$12="District of Columbia",'Company Information'!$C$12="Massachusetts",'Company Information'!$C$12="Vermont"),SUM($H$6:$K$11,$H$15:$K$16,$H$37:$I$37)&lt;&gt;0),D$15-D$16,0)</f>
        <v>6850731.1088931328</v>
      </c>
      <c r="J17" s="115">
        <f>J$15-J$16+IF(AND(OR('Company Information'!$C$12="District of Columbia",'Company Information'!$C$12="Massachusetts",'Company Information'!$C$12="Vermont"),SUM($H$6:$K$11,$H$15:$K$16,$H$37:$I$37)&lt;&gt;0),E$15-E$16,0)</f>
        <v>5119022.1307128808</v>
      </c>
      <c r="K17" s="115">
        <f>K$15-K$16+IF(AND(OR('Company Information'!$C$12="District of Columbia",'Company Information'!$C$12="Massachusetts",'Company Information'!$C$12="Vermont"),SUM($H$6:$K$11,$H$15:$K$16,$H$37:$I$37)&lt;&gt;0),F$15-F$16,0)</f>
        <v>20238077.309606016</v>
      </c>
      <c r="L17" s="314"/>
      <c r="M17" s="114">
        <f>M$15-M$16</f>
        <v>37273648.559999995</v>
      </c>
      <c r="N17" s="115">
        <f>N$15-N$16</f>
        <v>22588503.606874097</v>
      </c>
      <c r="O17" s="115">
        <f>O$15-O$16</f>
        <v>9848656.6100042854</v>
      </c>
      <c r="P17" s="115">
        <f>P$15-P$16</f>
        <v>69710808.776878387</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43865</v>
      </c>
      <c r="D37" s="122">
        <v>35497</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27726.583333333332</v>
      </c>
      <c r="F37" s="256">
        <f>SUM(C$37:E$37)+IF(AND(OR('Company Information'!$C$12="District of Columbia",'Company Information'!$C$12="Massachusetts",'Company Information'!$C$12="Vermont"),SUM($C$6:$F$11,$C$15:$F$16,$C$37:$D$37)&lt;&gt;0,SUM(C$37:D$37)&lt;&gt;SUM(H$37:I$37)),SUM(H$37:I$37),0)</f>
        <v>107088.58333333333</v>
      </c>
      <c r="G37" s="312"/>
      <c r="H37" s="121">
        <v>1043.6666666666667</v>
      </c>
      <c r="I37" s="122">
        <v>772</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636</v>
      </c>
      <c r="K37" s="256">
        <f>SUM(H$37:J$37)+IF(AND(OR('Company Information'!$C$12="District of Columbia",'Company Information'!$C$12="Massachusetts",'Company Information'!$C$12="Vermont"),SUM($H$6:$K$11,$H$15:$K$16,$H$37:$I$37)&lt;&gt;0,SUM(H$37:I$37)&lt;&gt;SUM(C$37:D$37)),SUM(C$37:D$37),0)</f>
        <v>2451.666666666667</v>
      </c>
      <c r="L37" s="312"/>
      <c r="M37" s="121">
        <v>8083.75</v>
      </c>
      <c r="N37" s="122">
        <v>4835</v>
      </c>
      <c r="O37" s="256">
        <f>('Pt 1 Summary of Data'!Q$59+'Pt 1 Summary of Data'!S$59-'Pt 1 Summary of Data'!T$59)/12</f>
        <v>1793.8333333333333</v>
      </c>
      <c r="P37" s="256">
        <f>SUM(M$37:O$37)</f>
        <v>14712.583333333334</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5.299888888888888E-2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2.2858277777777776E-2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4283.5747052694032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1.3337963119416472</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IF(OR(F$37&lt;1000,F$37&gt;=75000),0,F$38*F$40)</f>
        <v>0</v>
      </c>
      <c r="G41" s="311"/>
      <c r="H41" s="292"/>
      <c r="I41" s="288"/>
      <c r="J41" s="288"/>
      <c r="K41" s="260">
        <f ca="1">IF(OR(K$37&lt;1000,K$37&gt;=75000),0,K$38*K$40)</f>
        <v>5.299888888888888E-2</v>
      </c>
      <c r="L41" s="311"/>
      <c r="M41" s="292"/>
      <c r="N41" s="288"/>
      <c r="O41" s="288"/>
      <c r="P41" s="260">
        <f ca="1">IF(OR(P$37&lt;1000,P$37&gt;=75000),0,P$38*P$40)</f>
        <v>2.2858277777777776E-2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0.74092723544823369</v>
      </c>
      <c r="D44" s="260">
        <f>IF(OR(D$37&lt;1000,D$17&lt;=0),"",D$12/D$17)</f>
        <v>0.77496367000317268</v>
      </c>
      <c r="E44" s="260">
        <f>IF(OR(E$37&lt;1000,E$17&lt;=0),"",E$12/E$17)</f>
        <v>0.80969740451033412</v>
      </c>
      <c r="F44" s="260">
        <f>IF(OR(F$37&lt;1000,F$17&lt;=0),"",F$12/F$17)</f>
        <v>0.77165045761334783</v>
      </c>
      <c r="G44" s="311"/>
      <c r="H44" s="262">
        <f>IF(OR(H$37&lt;1000,H$17&lt;=0),"",H$12/H$17)</f>
        <v>0.65749793839418291</v>
      </c>
      <c r="I44" s="260" t="str">
        <f>IF(OR(I$37&lt;1000,I$17&lt;=0),"",I$12/I$17)</f>
        <v/>
      </c>
      <c r="J44" s="260" t="str">
        <f>IF(OR(J$37&lt;1000,J$17&lt;=0),"",J$12/J$17)</f>
        <v/>
      </c>
      <c r="K44" s="260">
        <f>IF(OR(K$37&lt;1000,K$17&lt;=0),"",K$12/K$17)</f>
        <v>0.71913236581940765</v>
      </c>
      <c r="L44" s="311"/>
      <c r="M44" s="262">
        <f>IF(OR(M$37&lt;1000,M$17&lt;=0),"",M$12/M$17)</f>
        <v>0.90367567574661944</v>
      </c>
      <c r="N44" s="260">
        <f>IF(OR(N$37&lt;1000,N$17&lt;=0),"",N$12/N$17)</f>
        <v>0.91003530610177175</v>
      </c>
      <c r="O44" s="260">
        <f>IF(OR(O$37&lt;1000,O$17&lt;=0),"",O$12/O$17)</f>
        <v>0.85751578155491437</v>
      </c>
      <c r="P44" s="260">
        <f>IF(OR(P$37&lt;1000,P$17&lt;=0),"",P$12/P$17)</f>
        <v>0.89921498422275858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IF(F$44="","",F$41)</f>
        <v>0</v>
      </c>
      <c r="G46" s="311"/>
      <c r="H46" s="292"/>
      <c r="I46" s="288"/>
      <c r="J46" s="288"/>
      <c r="K46" s="260">
        <f ca="1">IF(K$44="","",K$41)</f>
        <v>5.299888888888888E-2</v>
      </c>
      <c r="L46" s="311"/>
      <c r="M46" s="292"/>
      <c r="N46" s="288"/>
      <c r="O46" s="288"/>
      <c r="P46" s="260">
        <f ca="1">IF(P$44="","",P$41)</f>
        <v>2.2858277777777776E-2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IF(F$44="","",ROUND(F$44+MAX(0,F$46),3))</f>
        <v>0.77200000000000002</v>
      </c>
      <c r="G47" s="311"/>
      <c r="H47" s="292"/>
      <c r="I47" s="288"/>
      <c r="J47" s="288"/>
      <c r="K47" s="260">
        <f ca="1">IF(K$44="","",ROUND(K$44+MAX(0,K$46),3))</f>
        <v>0.77200000000000002</v>
      </c>
      <c r="L47" s="311"/>
      <c r="M47" s="292"/>
      <c r="N47" s="288"/>
      <c r="O47" s="288"/>
      <c r="P47" s="260">
        <f ca="1">IF(P$44="","",ROUND(P$44+MAX(0,P$46),3))</f>
        <v>0.92200000000000004</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0.77200000000000002</v>
      </c>
      <c r="G50" s="311"/>
      <c r="H50" s="293"/>
      <c r="I50" s="289"/>
      <c r="J50" s="289"/>
      <c r="K50" s="260">
        <f ca="1">K$47</f>
        <v>0.77200000000000002</v>
      </c>
      <c r="L50" s="311"/>
      <c r="M50" s="293"/>
      <c r="N50" s="289"/>
      <c r="O50" s="289"/>
      <c r="P50" s="260">
        <f ca="1">P$47</f>
        <v>0.92200000000000004</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72770592.829525828</v>
      </c>
      <c r="G51" s="311"/>
      <c r="H51" s="292"/>
      <c r="I51" s="288"/>
      <c r="J51" s="288"/>
      <c r="K51" s="115">
        <f>IF(K$37&lt;1000,"",MAX(0,J$15-J$16))</f>
        <v>5119022.1307128808</v>
      </c>
      <c r="L51" s="311"/>
      <c r="M51" s="292"/>
      <c r="N51" s="288"/>
      <c r="O51" s="288"/>
      <c r="P51" s="115">
        <f>IF(P$37&lt;1000,"",MAX(0,O$15-O$16))</f>
        <v>9848656.6100042854</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v>2037576.5992267246</v>
      </c>
      <c r="G52" s="311"/>
      <c r="H52" s="292"/>
      <c r="I52" s="288"/>
      <c r="J52" s="288"/>
      <c r="K52" s="115">
        <v>143332.61965996076</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826575.45833045733</v>
      </c>
      <c r="E55" s="288"/>
      <c r="F55" s="288"/>
      <c r="G55" s="311"/>
      <c r="H55" s="292"/>
      <c r="I55" s="110">
        <v>42088.832686000009</v>
      </c>
      <c r="J55" s="288"/>
      <c r="K55" s="288"/>
      <c r="L55" s="311"/>
      <c r="M55" s="292"/>
      <c r="N55" s="110">
        <v>62665.359415403043</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584.65758811342766</v>
      </c>
      <c r="E56" s="288"/>
      <c r="F56" s="288"/>
      <c r="G56" s="311"/>
      <c r="H56" s="292"/>
      <c r="I56" s="110">
        <v>4537.5582406893682</v>
      </c>
      <c r="J56" s="288"/>
      <c r="K56" s="288"/>
      <c r="L56" s="311"/>
      <c r="M56" s="292"/>
      <c r="N56" s="110">
        <v>4691.0450565389292</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14864</v>
      </c>
      <c r="D4" s="149">
        <f>'Pt 1 Summary of Data'!$K$56+'Pt 1 Summary of Data'!$M$56-'Pt 1 Summary of Data'!$N$56</f>
        <v>415</v>
      </c>
      <c r="E4" s="149">
        <f>'Pt 1 Summary of Data'!$Q$56+'Pt 1 Summary of Data'!$S$56-'Pt 1 Summary of Data'!$T$56</f>
        <v>781</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v>206</v>
      </c>
      <c r="E6" s="123"/>
      <c r="F6" s="363"/>
      <c r="G6" s="123"/>
      <c r="H6" s="123"/>
      <c r="I6" s="363"/>
      <c r="J6" s="363"/>
      <c r="K6" s="372"/>
    </row>
    <row r="7" spans="2:11" x14ac:dyDescent="0.2">
      <c r="B7" s="155" t="s">
        <v>102</v>
      </c>
      <c r="C7" s="124">
        <v>18689</v>
      </c>
      <c r="D7" s="126"/>
      <c r="E7" s="126"/>
      <c r="F7" s="126"/>
      <c r="G7" s="126"/>
      <c r="H7" s="126"/>
      <c r="I7" s="374"/>
      <c r="J7" s="374"/>
      <c r="K7" s="209"/>
    </row>
    <row r="8" spans="2:11" x14ac:dyDescent="0.2">
      <c r="B8" s="155" t="s">
        <v>103</v>
      </c>
      <c r="C8" s="361"/>
      <c r="D8" s="126">
        <v>1</v>
      </c>
      <c r="E8" s="126"/>
      <c r="F8" s="364"/>
      <c r="G8" s="126"/>
      <c r="H8" s="126"/>
      <c r="I8" s="374"/>
      <c r="J8" s="374"/>
      <c r="K8" s="373"/>
    </row>
    <row r="9" spans="2:11" ht="13.15" customHeight="1" x14ac:dyDescent="0.2">
      <c r="B9" s="155" t="s">
        <v>104</v>
      </c>
      <c r="C9" s="124">
        <v>1062</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2037576.5992267246</v>
      </c>
      <c r="D11" s="119">
        <f>'Pt 3 MLR and Rebate Calculation'!$K$52</f>
        <v>143332.61965996076</v>
      </c>
      <c r="E11" s="119">
        <f ca="1">'Pt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v>-3374.36</v>
      </c>
      <c r="D12" s="113">
        <v>-0.46</v>
      </c>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2037576.5992267246</v>
      </c>
      <c r="D14" s="113">
        <v>143332.61965996076</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1560099.0207504032</v>
      </c>
      <c r="D16" s="119">
        <v>424745.32875137462</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196152.8799999996</v>
      </c>
      <c r="D22" s="212">
        <v>25083.65</v>
      </c>
      <c r="E22" s="212"/>
      <c r="F22" s="212"/>
      <c r="G22" s="212"/>
      <c r="H22" s="212"/>
      <c r="I22" s="359"/>
      <c r="J22" s="359"/>
      <c r="K22" s="368"/>
    </row>
    <row r="23" spans="2:12" s="5" customFormat="1" ht="100.15" customHeight="1" x14ac:dyDescent="0.2">
      <c r="B23" s="102" t="s">
        <v>212</v>
      </c>
      <c r="C23" s="381" t="s">
        <v>532</v>
      </c>
      <c r="D23" s="382"/>
      <c r="E23" s="382"/>
      <c r="F23" s="382"/>
      <c r="G23" s="382"/>
      <c r="H23" s="382"/>
      <c r="I23" s="382"/>
      <c r="J23" s="382"/>
      <c r="K23" s="383"/>
    </row>
    <row r="24" spans="2:12" s="5" customFormat="1" ht="100.15" customHeight="1" x14ac:dyDescent="0.2">
      <c r="B24" s="101" t="s">
        <v>213</v>
      </c>
      <c r="C24" s="384" t="s">
        <v>533</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t="s">
        <v>505</v>
      </c>
      <c r="C9" s="28"/>
      <c r="D9" s="29"/>
      <c r="E9" s="29"/>
      <c r="F9" s="29"/>
      <c r="G9" s="29"/>
      <c r="H9" s="29"/>
      <c r="I9" s="27"/>
      <c r="J9" s="27"/>
      <c r="K9" s="2"/>
    </row>
    <row r="10" spans="1:12" s="5" customFormat="1" ht="18" customHeight="1" x14ac:dyDescent="0.2">
      <c r="B10" s="66" t="s">
        <v>506</v>
      </c>
      <c r="C10" s="28"/>
      <c r="D10" s="29"/>
      <c r="E10" s="29"/>
      <c r="F10" s="29"/>
      <c r="G10" s="29"/>
      <c r="H10" s="29"/>
      <c r="I10" s="27"/>
      <c r="J10" s="27"/>
      <c r="K10" s="2"/>
    </row>
    <row r="11" spans="1:12" s="5" customFormat="1" ht="18" customHeight="1" x14ac:dyDescent="0.2">
      <c r="B11" s="66" t="s">
        <v>507</v>
      </c>
      <c r="C11" s="28"/>
      <c r="D11" s="29"/>
      <c r="E11" s="29"/>
      <c r="F11" s="29"/>
      <c r="G11" s="29"/>
      <c r="H11" s="29"/>
      <c r="I11" s="27"/>
      <c r="J11" s="27"/>
      <c r="K11" s="2"/>
    </row>
    <row r="12" spans="1:12" s="5" customFormat="1" ht="18" customHeight="1" x14ac:dyDescent="0.2">
      <c r="B12" s="66" t="s">
        <v>508</v>
      </c>
      <c r="C12" s="28"/>
      <c r="D12" s="29"/>
      <c r="E12" s="29"/>
      <c r="F12" s="29"/>
      <c r="G12" s="29"/>
      <c r="H12" s="29"/>
      <c r="I12" s="27"/>
      <c r="J12" s="27"/>
      <c r="K12" s="2"/>
    </row>
    <row r="13" spans="1:12" s="5" customFormat="1" ht="18" customHeight="1" x14ac:dyDescent="0.2">
      <c r="B13" s="66" t="s">
        <v>509</v>
      </c>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510</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511</v>
      </c>
      <c r="E27" s="7"/>
    </row>
    <row r="28" spans="2:5" ht="35.25" customHeight="1" x14ac:dyDescent="0.2">
      <c r="B28" s="219"/>
      <c r="C28" s="150"/>
      <c r="D28" s="222" t="s">
        <v>512</v>
      </c>
      <c r="E28" s="7"/>
    </row>
    <row r="29" spans="2:5" ht="35.25" customHeight="1" x14ac:dyDescent="0.2">
      <c r="B29" s="219"/>
      <c r="C29" s="150"/>
      <c r="D29" s="222" t="s">
        <v>513</v>
      </c>
      <c r="E29" s="7"/>
    </row>
    <row r="30" spans="2:5" ht="35.25" customHeight="1" x14ac:dyDescent="0.2">
      <c r="B30" s="219"/>
      <c r="C30" s="150"/>
      <c r="D30" s="222" t="s">
        <v>514</v>
      </c>
      <c r="E30" s="7"/>
    </row>
    <row r="31" spans="2:5" ht="35.25" customHeight="1" x14ac:dyDescent="0.2">
      <c r="B31" s="219"/>
      <c r="C31" s="150"/>
      <c r="D31" s="222" t="s">
        <v>515</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516</v>
      </c>
      <c r="E34" s="7"/>
    </row>
    <row r="35" spans="2:5" ht="35.25" customHeight="1" x14ac:dyDescent="0.2">
      <c r="B35" s="219"/>
      <c r="C35" s="150"/>
      <c r="D35" s="222" t="s">
        <v>517</v>
      </c>
      <c r="E35" s="7"/>
    </row>
    <row r="36" spans="2:5" ht="35.25" customHeight="1" x14ac:dyDescent="0.2">
      <c r="B36" s="219"/>
      <c r="C36" s="150"/>
      <c r="D36" s="222" t="s">
        <v>518</v>
      </c>
      <c r="E36" s="7"/>
    </row>
    <row r="37" spans="2:5" ht="35.25" customHeight="1" x14ac:dyDescent="0.2">
      <c r="B37" s="219"/>
      <c r="C37" s="150"/>
      <c r="D37" s="222" t="s">
        <v>519</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521</v>
      </c>
      <c r="E48" s="7"/>
    </row>
    <row r="49" spans="2:5" ht="35.25" customHeight="1" x14ac:dyDescent="0.2">
      <c r="B49" s="219"/>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523</v>
      </c>
      <c r="E56" s="7"/>
    </row>
    <row r="57" spans="2:5" ht="35.25" customHeight="1" x14ac:dyDescent="0.2">
      <c r="B57" s="219"/>
      <c r="C57" s="152"/>
      <c r="D57" s="222" t="s">
        <v>524</v>
      </c>
      <c r="E57" s="7"/>
    </row>
    <row r="58" spans="2:5" ht="35.25" customHeight="1" x14ac:dyDescent="0.2">
      <c r="B58" s="219"/>
      <c r="C58" s="152"/>
      <c r="D58" s="222" t="s">
        <v>525</v>
      </c>
      <c r="E58" s="7"/>
    </row>
    <row r="59" spans="2:5" ht="35.25" customHeight="1" x14ac:dyDescent="0.2">
      <c r="B59" s="219"/>
      <c r="C59" s="152"/>
      <c r="D59" s="222" t="s">
        <v>526</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523</v>
      </c>
      <c r="E78" s="7"/>
    </row>
    <row r="79" spans="2:5" ht="35.25" customHeight="1" x14ac:dyDescent="0.2">
      <c r="B79" s="219"/>
      <c r="C79" s="152"/>
      <c r="D79" s="222" t="s">
        <v>524</v>
      </c>
      <c r="E79" s="7"/>
    </row>
    <row r="80" spans="2:5" ht="35.25" customHeight="1" x14ac:dyDescent="0.2">
      <c r="B80" s="219"/>
      <c r="C80" s="152"/>
      <c r="D80" s="222" t="s">
        <v>525</v>
      </c>
      <c r="E80" s="7"/>
    </row>
    <row r="81" spans="2:5" ht="35.25" customHeight="1" x14ac:dyDescent="0.2">
      <c r="B81" s="219"/>
      <c r="C81" s="152"/>
      <c r="D81" s="222" t="s">
        <v>526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523</v>
      </c>
      <c r="E89" s="7"/>
    </row>
    <row r="90" spans="2:5" ht="35.25" customHeight="1" x14ac:dyDescent="0.2">
      <c r="B90" s="219"/>
      <c r="C90" s="152"/>
      <c r="D90" s="222" t="s">
        <v>524</v>
      </c>
      <c r="E90" s="7"/>
    </row>
    <row r="91" spans="2:5" ht="35.25" customHeight="1" x14ac:dyDescent="0.2">
      <c r="B91" s="219"/>
      <c r="C91" s="152"/>
      <c r="D91" s="222" t="s">
        <v>525</v>
      </c>
      <c r="E91" s="7"/>
    </row>
    <row r="92" spans="2:5" ht="35.25" customHeight="1" x14ac:dyDescent="0.2">
      <c r="B92" s="219"/>
      <c r="C92" s="152"/>
      <c r="D92" s="222" t="s">
        <v>526</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527</v>
      </c>
      <c r="E100" s="7"/>
    </row>
    <row r="101" spans="2:5" ht="35.25" customHeight="1" x14ac:dyDescent="0.2">
      <c r="B101" s="219"/>
      <c r="C101" s="152"/>
      <c r="D101" s="222" t="s">
        <v>528</v>
      </c>
      <c r="E101" s="7"/>
    </row>
    <row r="102" spans="2:5" ht="35.25" customHeight="1" x14ac:dyDescent="0.2">
      <c r="B102" s="219"/>
      <c r="C102" s="152"/>
      <c r="D102" s="222" t="s">
        <v>529</v>
      </c>
      <c r="E102" s="7"/>
    </row>
    <row r="103" spans="2:5" ht="35.25" customHeight="1" x14ac:dyDescent="0.2">
      <c r="B103" s="219"/>
      <c r="C103" s="152"/>
      <c r="D103" s="222" t="s">
        <v>530</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523</v>
      </c>
      <c r="E111" s="27"/>
    </row>
    <row r="112" spans="2:5" s="5" customFormat="1" ht="35.25" customHeight="1" x14ac:dyDescent="0.2">
      <c r="B112" s="219"/>
      <c r="C112" s="152"/>
      <c r="D112" s="222" t="s">
        <v>524</v>
      </c>
      <c r="E112" s="27"/>
    </row>
    <row r="113" spans="2:5" s="5" customFormat="1" ht="35.25" customHeight="1" x14ac:dyDescent="0.2">
      <c r="B113" s="219"/>
      <c r="C113" s="152"/>
      <c r="D113" s="222" t="s">
        <v>525</v>
      </c>
      <c r="E113" s="27"/>
    </row>
    <row r="114" spans="2:5" s="5" customFormat="1" ht="35.25" customHeight="1" x14ac:dyDescent="0.2">
      <c r="B114" s="219"/>
      <c r="C114" s="152"/>
      <c r="D114" s="222" t="s">
        <v>526</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523</v>
      </c>
      <c r="E123" s="7"/>
    </row>
    <row r="124" spans="2:5" s="5" customFormat="1" ht="35.25" customHeight="1" x14ac:dyDescent="0.2">
      <c r="B124" s="219"/>
      <c r="C124" s="150"/>
      <c r="D124" s="222" t="s">
        <v>524</v>
      </c>
      <c r="E124" s="27"/>
    </row>
    <row r="125" spans="2:5" s="5" customFormat="1" ht="35.25" customHeight="1" x14ac:dyDescent="0.2">
      <c r="B125" s="219"/>
      <c r="C125" s="150"/>
      <c r="D125" s="222" t="s">
        <v>525</v>
      </c>
      <c r="E125" s="27"/>
    </row>
    <row r="126" spans="2:5" s="5" customFormat="1" ht="35.25" customHeight="1" x14ac:dyDescent="0.2">
      <c r="B126" s="219"/>
      <c r="C126" s="150"/>
      <c r="D126" s="222" t="s">
        <v>526</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523</v>
      </c>
      <c r="E134" s="27"/>
    </row>
    <row r="135" spans="2:5" s="5" customFormat="1" ht="35.25" customHeight="1" x14ac:dyDescent="0.2">
      <c r="B135" s="219"/>
      <c r="C135" s="150"/>
      <c r="D135" s="222" t="s">
        <v>524</v>
      </c>
      <c r="E135" s="27"/>
    </row>
    <row r="136" spans="2:5" s="5" customFormat="1" ht="35.25" customHeight="1" x14ac:dyDescent="0.2">
      <c r="B136" s="219"/>
      <c r="C136" s="150"/>
      <c r="D136" s="222" t="s">
        <v>525</v>
      </c>
      <c r="E136" s="27"/>
    </row>
    <row r="137" spans="2:5" s="5" customFormat="1" ht="35.25" customHeight="1" x14ac:dyDescent="0.2">
      <c r="B137" s="219"/>
      <c r="C137" s="150"/>
      <c r="D137" s="222" t="s">
        <v>526</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524</v>
      </c>
      <c r="E145" s="27"/>
    </row>
    <row r="146" spans="2:5" s="5" customFormat="1" ht="35.25" customHeight="1" x14ac:dyDescent="0.2">
      <c r="B146" s="219"/>
      <c r="C146" s="150"/>
      <c r="D146" s="222" t="s">
        <v>525</v>
      </c>
      <c r="E146" s="27"/>
    </row>
    <row r="147" spans="2:5" s="5" customFormat="1" ht="35.25" customHeight="1" x14ac:dyDescent="0.2">
      <c r="B147" s="219"/>
      <c r="C147" s="150"/>
      <c r="D147" s="222" t="s">
        <v>526</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524</v>
      </c>
      <c r="E167" s="27"/>
    </row>
    <row r="168" spans="2:5" s="5" customFormat="1" ht="35.25" customHeight="1" x14ac:dyDescent="0.2">
      <c r="B168" s="219"/>
      <c r="C168" s="150"/>
      <c r="D168" s="222" t="s">
        <v>525</v>
      </c>
      <c r="E168" s="27"/>
    </row>
    <row r="169" spans="2:5" s="5" customFormat="1" ht="35.25" customHeight="1" x14ac:dyDescent="0.2">
      <c r="B169" s="219"/>
      <c r="C169" s="150"/>
      <c r="D169" s="222" t="s">
        <v>526</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524</v>
      </c>
      <c r="E178" s="27"/>
    </row>
    <row r="179" spans="2:5" s="5" customFormat="1" ht="35.25" customHeight="1" x14ac:dyDescent="0.2">
      <c r="B179" s="219"/>
      <c r="C179" s="150"/>
      <c r="D179" s="222" t="s">
        <v>525</v>
      </c>
      <c r="E179" s="27"/>
    </row>
    <row r="180" spans="2:5" s="5" customFormat="1" ht="35.25" customHeight="1" x14ac:dyDescent="0.2">
      <c r="B180" s="219"/>
      <c r="C180" s="150"/>
      <c r="D180" s="222" t="s">
        <v>526</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523</v>
      </c>
      <c r="E200" s="27"/>
    </row>
    <row r="201" spans="2:5" s="5" customFormat="1" ht="35.25" customHeight="1" x14ac:dyDescent="0.2">
      <c r="B201" s="219"/>
      <c r="C201" s="150"/>
      <c r="D201" s="222" t="s">
        <v>524</v>
      </c>
      <c r="E201" s="27"/>
    </row>
    <row r="202" spans="2:5" s="5" customFormat="1" ht="35.25" customHeight="1" x14ac:dyDescent="0.2">
      <c r="B202" s="219"/>
      <c r="C202" s="150"/>
      <c r="D202" s="222" t="s">
        <v>525</v>
      </c>
      <c r="E202" s="27"/>
    </row>
    <row r="203" spans="2:5" s="5" customFormat="1" ht="35.25" customHeight="1" x14ac:dyDescent="0.2">
      <c r="B203" s="219"/>
      <c r="C203" s="150"/>
      <c r="D203" s="222" t="s">
        <v>526</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2015-07-23T17:20:33Z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