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H4" i="16"/>
  <c r="G4" i="16"/>
  <c r="F4" i="16"/>
  <c r="E4" i="16"/>
  <c r="D4" i="16"/>
  <c r="C4" i="16"/>
  <c r="AB52" i="10"/>
  <c r="X52" i="10"/>
  <c r="G11" i="16" s="1"/>
  <c r="T52" i="10"/>
  <c r="F11" i="16" s="1"/>
  <c r="AB51" i="10"/>
  <c r="X51" i="10"/>
  <c r="T51" i="10"/>
  <c r="P51" i="10"/>
  <c r="AB50" i="10"/>
  <c r="AB47" i="10"/>
  <c r="AB46" i="10"/>
  <c r="AB45" i="10"/>
  <c r="AA45" i="10"/>
  <c r="Z45" i="10"/>
  <c r="AB38" i="10" s="1"/>
  <c r="Y45" i="10"/>
  <c r="X45" i="10"/>
  <c r="X46" i="10" s="1"/>
  <c r="W45" i="10"/>
  <c r="V45" i="10"/>
  <c r="U45" i="10"/>
  <c r="T45" i="10"/>
  <c r="T47" i="10" s="1"/>
  <c r="T50" i="10" s="1"/>
  <c r="S45" i="10"/>
  <c r="R45" i="10"/>
  <c r="Q45" i="10"/>
  <c r="P44" i="10"/>
  <c r="O44" i="10"/>
  <c r="N44" i="10"/>
  <c r="M44" i="10"/>
  <c r="AB41" i="10"/>
  <c r="X41" i="10"/>
  <c r="T41" i="10"/>
  <c r="AB40" i="10"/>
  <c r="X40" i="10"/>
  <c r="T40" i="10"/>
  <c r="P40" i="10"/>
  <c r="K40" i="10"/>
  <c r="F40" i="10"/>
  <c r="P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P15" i="10"/>
  <c r="O15" i="10"/>
  <c r="L15" i="10"/>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L55" i="18"/>
  <c r="K55" i="18"/>
  <c r="K22" i="4" s="1"/>
  <c r="J55" i="18"/>
  <c r="J22" i="4" s="1"/>
  <c r="I55" i="18"/>
  <c r="I22" i="4" s="1"/>
  <c r="H55" i="18"/>
  <c r="H22" i="4" s="1"/>
  <c r="G55" i="18"/>
  <c r="F55" i="18"/>
  <c r="F22" i="4" s="1"/>
  <c r="E55" i="18"/>
  <c r="E22" i="4" s="1"/>
  <c r="D55" i="18"/>
  <c r="D22" i="4" s="1"/>
  <c r="AU54" i="18"/>
  <c r="AU12" i="4" s="1"/>
  <c r="AT54" i="18"/>
  <c r="AT12" i="4" s="1"/>
  <c r="AS54" i="18"/>
  <c r="AS12" i="4" s="1"/>
  <c r="AC54" i="18"/>
  <c r="AB54" i="18"/>
  <c r="AB12" i="4" s="1"/>
  <c r="AA54" i="18"/>
  <c r="Z54" i="18"/>
  <c r="Z12" i="4" s="1"/>
  <c r="Y54" i="18"/>
  <c r="Y12" i="4" s="1"/>
  <c r="X54" i="18"/>
  <c r="X12" i="4" s="1"/>
  <c r="W54" i="18"/>
  <c r="W12" i="4" s="1"/>
  <c r="V54" i="18"/>
  <c r="V12" i="4" s="1"/>
  <c r="U54" i="18"/>
  <c r="U12" i="4" s="1"/>
  <c r="T54" i="18"/>
  <c r="T12" i="4" s="1"/>
  <c r="S54" i="18"/>
  <c r="S12" i="4" s="1"/>
  <c r="R54" i="18"/>
  <c r="Q54" i="18"/>
  <c r="P54" i="18"/>
  <c r="P12" i="4" s="1"/>
  <c r="O54" i="18"/>
  <c r="O12" i="4" s="1"/>
  <c r="N54" i="18"/>
  <c r="M54" i="18"/>
  <c r="L54" i="18"/>
  <c r="L12" i="4" s="1"/>
  <c r="K54" i="18"/>
  <c r="K12" i="4" s="1"/>
  <c r="J54" i="18"/>
  <c r="J12" i="4" s="1"/>
  <c r="I54" i="18"/>
  <c r="I12" i="4" s="1"/>
  <c r="H54" i="18"/>
  <c r="G54" i="18"/>
  <c r="G12" i="4" s="1"/>
  <c r="F54" i="18"/>
  <c r="F12" i="4" s="1"/>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M22" i="4"/>
  <c r="L22" i="4"/>
  <c r="G22" i="4"/>
  <c r="AC12" i="4"/>
  <c r="AA12" i="4"/>
  <c r="R12" i="4"/>
  <c r="Q12" i="4"/>
  <c r="N12" i="4"/>
  <c r="M12" i="4"/>
  <c r="H12" i="4"/>
  <c r="E12" i="4"/>
  <c r="AU5" i="4"/>
  <c r="AT5" i="4"/>
  <c r="AS5" i="4"/>
  <c r="AC5" i="4"/>
  <c r="AB5" i="4"/>
  <c r="AA5" i="4"/>
  <c r="Z5" i="4"/>
  <c r="Y5" i="4"/>
  <c r="X5" i="4"/>
  <c r="W5" i="4"/>
  <c r="V5" i="4"/>
  <c r="U5" i="4"/>
  <c r="T5" i="4"/>
  <c r="S5" i="4"/>
  <c r="R5" i="4"/>
  <c r="Q5" i="4"/>
  <c r="P5" i="4"/>
  <c r="O5" i="4"/>
  <c r="N5" i="4"/>
  <c r="M5" i="4"/>
  <c r="L5" i="4"/>
  <c r="K5" i="4"/>
  <c r="J15" i="10" s="1"/>
  <c r="J5" i="4"/>
  <c r="I5" i="4"/>
  <c r="G15" i="10" s="1"/>
  <c r="H5" i="4"/>
  <c r="G5" i="4"/>
  <c r="E15" i="10" s="1"/>
  <c r="F5" i="4"/>
  <c r="E5" i="4"/>
  <c r="D5" i="4"/>
  <c r="F15" i="10" l="1"/>
  <c r="K15" i="10"/>
  <c r="J7" i="10"/>
  <c r="G7" i="10"/>
  <c r="G20" i="10" s="1"/>
  <c r="G29" i="10"/>
  <c r="G19" i="10"/>
  <c r="G25" i="10"/>
  <c r="G28" i="10"/>
  <c r="X47" i="10"/>
  <c r="X50" i="10" s="1"/>
  <c r="X38" i="10"/>
  <c r="T38" i="10"/>
  <c r="T46" i="10"/>
  <c r="P41" i="10"/>
  <c r="P46" i="10" s="1"/>
  <c r="P47" i="10" s="1"/>
  <c r="P50" i="10" s="1"/>
  <c r="P52" i="10" s="1"/>
  <c r="E11" i="16" s="1"/>
  <c r="L23" i="10"/>
  <c r="L27" i="10" s="1"/>
  <c r="L31" i="10" s="1"/>
  <c r="L32" i="10" s="1"/>
  <c r="L33" i="10" s="1"/>
  <c r="W13" i="10"/>
  <c r="S13" i="10"/>
  <c r="U13" i="10"/>
  <c r="X13" i="10"/>
  <c r="Q13" i="10"/>
  <c r="R13" i="10"/>
  <c r="T13" i="10"/>
  <c r="E7" i="10"/>
  <c r="F7" i="10" l="1"/>
  <c r="D12" i="10" s="1"/>
  <c r="E37" i="10"/>
  <c r="C12" i="10"/>
  <c r="D17" i="10"/>
  <c r="D44" i="10" s="1"/>
  <c r="E12" i="10"/>
  <c r="F17" i="10"/>
  <c r="K7" i="10"/>
  <c r="J12" i="10"/>
  <c r="J37" i="10"/>
  <c r="H17" i="10"/>
  <c r="E17" i="10"/>
  <c r="L26" i="10"/>
  <c r="L30" i="10" s="1"/>
  <c r="G24" i="10"/>
  <c r="G23" i="10" s="1"/>
  <c r="G27" i="10"/>
  <c r="G21" i="10"/>
  <c r="E44" i="10" l="1"/>
  <c r="F37" i="10"/>
  <c r="H44" i="10"/>
  <c r="I12" i="10"/>
  <c r="H12" i="10"/>
  <c r="K17" i="10"/>
  <c r="K37" i="10"/>
  <c r="I17" i="10"/>
  <c r="I44" i="10" s="1"/>
  <c r="C17" i="10"/>
  <c r="C44" i="10" s="1"/>
  <c r="J17" i="10"/>
  <c r="J44" i="10" s="1"/>
  <c r="G31" i="10"/>
  <c r="G32" i="10" s="1"/>
  <c r="G33" i="10" s="1"/>
  <c r="G26" i="10"/>
  <c r="G30" i="10" s="1"/>
  <c r="F51" i="10" l="1"/>
  <c r="F38" i="10"/>
  <c r="F41" i="10" s="1"/>
  <c r="K12" i="10"/>
  <c r="K44" i="10" s="1"/>
  <c r="K38" i="10"/>
  <c r="K41" i="10" s="1"/>
  <c r="K51" i="10"/>
  <c r="F12" i="10"/>
  <c r="F44" i="10" s="1"/>
  <c r="F46" i="10" l="1"/>
  <c r="F47" i="10" s="1"/>
  <c r="F50" i="10" s="1"/>
  <c r="F52" i="10" s="1"/>
  <c r="C11" i="16" s="1"/>
  <c r="K46" i="10"/>
  <c r="K47" i="10" s="1"/>
  <c r="K50" i="10" s="1"/>
  <c r="K52" i="10" s="1"/>
  <c r="D11" i="16" s="1"/>
</calcChain>
</file>

<file path=xl/sharedStrings.xml><?xml version="1.0" encoding="utf-8"?>
<sst xmlns="http://schemas.openxmlformats.org/spreadsheetml/2006/main" count="571" uniqueCount="509">
  <si>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</si>
  <si>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</si>
  <si>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</si>
  <si>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</si>
  <si>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</si>
  <si>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</si>
  <si>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</si>
  <si>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</si>
  <si>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</si>
  <si>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</si>
  <si>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</si>
  <si>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</si>
  <si>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</si>
  <si>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</si>
  <si>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</si>
  <si>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</si>
  <si>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</si>
  <si>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</si>
  <si>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</si>
  <si>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</si>
  <si>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</si>
  <si>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</si>
  <si>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</si>
  <si>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</si>
  <si>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</si>
  <si>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</si>
  <si>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</si>
  <si>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</si>
  <si>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</si>
  <si>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</si>
  <si>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</si>
  <si>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</si>
  <si>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</si>
  <si>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</si>
  <si>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</si>
  <si>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</si>
  <si>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</si>
  <si>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</si>
  <si>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</si>
  <si>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</si>
  <si>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</si>
  <si>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</si>
  <si>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</si>
  <si>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</si>
  <si>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</si>
  <si>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</si>
  <si>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</si>
  <si>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</si>
  <si>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</si>
  <si>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</si>
  <si>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</si>
  <si>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</si>
  <si>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</si>
  <si>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</si>
  <si>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</si>
  <si>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</si>
  <si>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</si>
  <si>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</si>
  <si>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</si>
  <si>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</si>
  <si>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</si>
  <si>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</si>
  <si>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</si>
  <si>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</si>
  <si>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</si>
  <si>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</si>
  <si>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</si>
  <si>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</si>
  <si>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</si>
  <si>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</si>
  <si>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</si>
  <si>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</si>
  <si>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</si>
  <si>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</si>
  <si>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</si>
  <si>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</si>
  <si>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</si>
  <si>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</si>
  <si>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</si>
  <si>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</si>
  <si>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</si>
  <si>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</si>
  <si>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</si>
  <si>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</si>
  <si>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</si>
  <si>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</si>
  <si>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</si>
  <si>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</si>
  <si>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</si>
  <si>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</si>
  <si>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</si>
  <si>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</si>
  <si>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</si>
  <si>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</si>
  <si>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</si>
  <si>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</si>
  <si>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</si>
  <si>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</si>
  <si>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</si>
  <si>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</si>
  <si>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</si>
  <si>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</si>
  <si>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</si>
  <si>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</si>
  <si>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</si>
  <si>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</si>
  <si>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</si>
  <si>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</si>
  <si>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</si>
  <si>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</si>
  <si>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</si>
  <si>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</si>
  <si>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</si>
  <si>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</si>
  <si>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</si>
  <si>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</si>
  <si>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</si>
  <si>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</si>
  <si>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</si>
  <si>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</si>
  <si>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</si>
  <si>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</si>
  <si>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</si>
  <si>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</si>
  <si>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</si>
  <si>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</si>
  <si>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</si>
  <si>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</si>
  <si>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</si>
  <si>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</si>
  <si>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</si>
  <si>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</si>
  <si>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</si>
  <si>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</si>
  <si>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</si>
  <si>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</si>
  <si>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</si>
  <si>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</si>
  <si>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</si>
  <si>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</si>
  <si>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</si>
  <si>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</si>
  <si>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</si>
  <si>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</si>
  <si>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</si>
  <si>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</si>
  <si>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</si>
  <si>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</si>
  <si>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</si>
  <si>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</si>
  <si>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</si>
  <si>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</si>
  <si>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</si>
  <si>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</si>
  <si>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</si>
  <si>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</si>
  <si>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</si>
  <si>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</si>
  <si>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</si>
  <si>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</si>
  <si>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</si>
  <si>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</si>
  <si>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</si>
  <si>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</si>
  <si>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</si>
  <si>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</si>
  <si>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</si>
  <si>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</si>
  <si>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</si>
  <si>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</si>
  <si>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</si>
  <si>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</si>
  <si>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</si>
  <si>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</si>
  <si>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</si>
  <si>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</si>
  <si>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</si>
  <si>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</si>
  <si>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</si>
  <si>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</si>
  <si>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</si>
  <si>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</si>
  <si>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</si>
  <si>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</si>
  <si>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</si>
  <si>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</si>
  <si>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</si>
  <si>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</si>
  <si>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</si>
  <si>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</si>
  <si>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</si>
  <si>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</si>
  <si>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</si>
  <si>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</si>
  <si>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</si>
  <si>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</si>
  <si>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</si>
  <si>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</si>
  <si>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</si>
  <si>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</si>
  <si>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</si>
  <si>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</si>
  <si>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</si>
  <si>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</si>
  <si>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</si>
  <si>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</si>
  <si>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</si>
  <si>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</si>
  <si>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</si>
  <si>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</si>
  <si>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</si>
  <si>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</si>
  <si>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</si>
  <si>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</si>
  <si>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</si>
  <si>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</si>
  <si>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</si>
  <si>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</si>
  <si>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</si>
  <si>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</si>
  <si>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</si>
  <si>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</si>
  <si>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</si>
  <si>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</si>
  <si>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</si>
  <si>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</si>
  <si>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</si>
  <si>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</si>
  <si>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</si>
  <si>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</si>
  <si>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</si>
  <si>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</si>
  <si>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</si>
  <si>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</si>
  <si>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</si>
  <si>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</si>
  <si>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</si>
  <si>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</si>
  <si>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</si>
  <si>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</si>
  <si>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</si>
  <si>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</si>
  <si>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</si>
  <si>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</si>
  <si>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</si>
  <si>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</si>
  <si>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</si>
  <si>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</si>
  <si>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</si>
  <si>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</si>
  <si>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</si>
  <si>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</si>
  <si>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</si>
  <si>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</si>
  <si>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</si>
  <si>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</si>
  <si>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</si>
  <si>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</si>
  <si>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</si>
  <si>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</si>
  <si>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</si>
  <si>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</si>
  <si>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</si>
  <si>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</si>
  <si>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</si>
  <si>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</si>
  <si>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</si>
  <si>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</si>
  <si>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</si>
  <si>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</si>
  <si>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</si>
  <si>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</si>
  <si>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</si>
  <si>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</si>
  <si>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</si>
  <si>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</si>
  <si>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</si>
  <si>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</si>
  <si>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</si>
  <si>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</si>
  <si>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</si>
  <si>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</si>
  <si>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</si>
  <si>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</si>
  <si>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</si>
  <si>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</si>
  <si>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</si>
  <si>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</si>
  <si>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</si>
  <si>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</si>
  <si>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</si>
  <si>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</si>
  <si>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</si>
  <si>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</si>
  <si>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</si>
  <si>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</si>
  <si>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</si>
  <si>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</si>
  <si>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</si>
  <si>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</si>
  <si>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</si>
  <si>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</si>
  <si>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</si>
  <si>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</si>
  <si>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</si>
  <si>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</si>
  <si>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</si>
  <si>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</si>
  <si>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</si>
  <si>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</si>
  <si>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</si>
  <si>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</si>
  <si>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</si>
  <si>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</si>
  <si>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</si>
  <si>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</si>
  <si>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</si>
  <si>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</si>
  <si>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</si>
  <si>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</si>
  <si>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</si>
  <si>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</si>
  <si>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</si>
  <si>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</si>
  <si>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</si>
  <si>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</si>
  <si>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</si>
  <si>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</si>
  <si>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</si>
  <si>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</si>
  <si>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</si>
  <si>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</si>
  <si>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</si>
  <si>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</si>
  <si>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</si>
  <si>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</si>
  <si>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</si>
  <si>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</si>
  <si>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</si>
  <si>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</si>
  <si>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</si>
  <si>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</si>
  <si>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</si>
  <si>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</si>
  <si>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</si>
  <si>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</si>
  <si>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</si>
  <si>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</si>
  <si>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</si>
  <si>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</si>
  <si>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</si>
  <si>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</si>
  <si>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</si>
  <si>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</si>
  <si>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</si>
  <si>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</si>
  <si>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</si>
  <si>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</si>
  <si>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</si>
  <si>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</si>
  <si>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</si>
  <si>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</si>
  <si>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</si>
  <si>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</si>
  <si>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</si>
  <si>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</si>
  <si>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</si>
  <si>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</si>
  <si>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</si>
  <si>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</si>
  <si>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</si>
  <si>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</si>
  <si>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</si>
  <si>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</si>
  <si>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</si>
  <si>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</si>
  <si>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</si>
  <si>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</si>
  <si>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</si>
  <si>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</si>
  <si>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</si>
  <si>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</si>
  <si>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</si>
  <si>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</si>
  <si>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</si>
  <si>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</si>
  <si>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</si>
  <si>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</si>
  <si>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</si>
  <si>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</si>
  <si>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</si>
  <si>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</si>
  <si>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</si>
  <si>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</si>
  <si>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</si>
  <si>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</si>
  <si>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</si>
  <si>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</si>
  <si>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</si>
  <si>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</si>
  <si>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</si>
  <si>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</si>
  <si>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</si>
  <si>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</si>
  <si>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</si>
  <si>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</si>
  <si>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</si>
  <si>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</si>
  <si>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</si>
  <si>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</si>
  <si>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</si>
  <si>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</si>
  <si>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</si>
  <si>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</si>
  <si>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</si>
  <si>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</si>
  <si>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</si>
  <si>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</si>
  <si>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</si>
  <si>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</si>
  <si>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</si>
  <si>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</si>
  <si>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</si>
  <si>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</si>
  <si>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</si>
  <si>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</si>
  <si>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</si>
  <si>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</si>
  <si>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</si>
  <si>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</si>
  <si>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</si>
  <si>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</si>
  <si>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</si>
  <si>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</si>
  <si>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</si>
  <si>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</si>
  <si>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</si>
  <si>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</si>
  <si>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</si>
  <si>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</si>
  <si>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</si>
  <si>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</si>
  <si>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</si>
  <si>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</si>
  <si>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</si>
  <si>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</si>
  <si>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</si>
  <si>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</si>
  <si>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</si>
  <si>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</si>
  <si>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</si>
  <si>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</si>
  <si>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</si>
  <si>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</si>
  <si>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</si>
  <si>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</si>
  <si>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</si>
  <si>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</si>
  <si>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</si>
  <si>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</si>
  <si>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</si>
  <si>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</si>
  <si>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</si>
  <si>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</si>
  <si>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</si>
  <si>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</si>
  <si>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</si>
  <si>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</si>
  <si>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</si>
  <si>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</si>
  <si>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</si>
  <si>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</si>
  <si>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</si>
  <si>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</si>
  <si>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</si>
  <si>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</si>
  <si>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</si>
  <si>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</si>
  <si>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</si>
  <si>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</si>
  <si>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</si>
  <si>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</si>
  <si>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</si>
  <si>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</si>
  <si>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</si>
  <si>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</si>
  <si>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</si>
  <si>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</si>
  <si>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</si>
  <si>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</si>
  <si>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</si>
  <si>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</si>
  <si>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</si>
  <si>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</si>
  <si>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Inc.</t>
  </si>
  <si>
    <t>HUMANA GRP</t>
  </si>
  <si>
    <t>Humana</t>
  </si>
  <si>
    <t>119</t>
  </si>
  <si>
    <t>2014</t>
  </si>
  <si>
    <t>321 West Main Street, 12th Floor Louisville, KY 40202</t>
  </si>
  <si>
    <t>611013183</t>
  </si>
  <si>
    <t>095885</t>
  </si>
  <si>
    <t>95885</t>
  </si>
  <si>
    <t>23307</t>
  </si>
  <si>
    <t>215</t>
  </si>
  <si>
    <t>Humana Insurance Company</t>
  </si>
  <si>
    <t>Humana Insurance of Puerto Rico,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</si>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</sst>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138</v>
      </c>
    </row>
    <row r="13" spans="1:6" x14ac:dyDescent="0.2">
      <c r="B13" s="232" t="s">
        <v>50</v>
      </c>
      <c r="C13" s="378" t="s">
        <v>157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N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8249983</v>
      </c>
      <c r="E5" s="106">
        <f>SUM('Pt 2 Premium and Claims'!E$5,'Pt 2 Premium and Claims'!E$6,-'Pt 2 Premium and Claims'!E$7,-'Pt 2 Premium and Claims'!E$13,'Pt 2 Premium and Claims'!E$14:'Pt 2 Premium and Claims'!E$17)</f>
        <v>14164618.7699998</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12403810</v>
      </c>
      <c r="J5" s="105">
        <f>SUM('Pt 2 Premium and Claims'!J$5,'Pt 2 Premium and Claims'!J$6,-'Pt 2 Premium and Claims'!J$7,-'Pt 2 Premium and Claims'!J$13,'Pt 2 Premium and Claims'!J$14,'Pt 2 Premium and Claims'!J$16:'Pt 2 Premium and Claims'!J$17)</f>
        <v>32325482</v>
      </c>
      <c r="K5" s="106">
        <f>SUM('Pt 2 Premium and Claims'!K$5,'Pt 2 Premium and Claims'!K$6,-'Pt 2 Premium and Claims'!K$7,-'Pt 2 Premium and Claims'!K$13,'Pt 2 Premium and Claims'!K$14,'Pt 2 Premium and Claims'!K$16:'Pt 2 Premium and Claims'!K$17)</f>
        <v>40155992.103143103</v>
      </c>
      <c r="L5" s="106">
        <f>SUM('Pt 2 Premium and Claims'!L$5,'Pt 2 Premium and Claims'!L$6,-'Pt 2 Premium and Claims'!L$7,-'Pt 2 Premium and Claims'!L$13,'Pt 2 Premium and Claims'!L$14,'Pt 2 Premium and Claims'!L$16:'Pt 2 Premium and Claims'!L$17)</f>
        <v>10214555.989999998</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24688230</v>
      </c>
      <c r="Q5" s="106">
        <f>SUM('Pt 2 Premium and Claims'!Q$5,'Pt 2 Premium and Claims'!Q$6,-'Pt 2 Premium and Claims'!Q$7,-'Pt 2 Premium and Claims'!Q$13,'Pt 2 Premium and Claims'!Q$14)</f>
        <v>32803497.197100002</v>
      </c>
      <c r="R5" s="106">
        <f>SUM('Pt 2 Premium and Claims'!R$5,'Pt 2 Premium and Claims'!R$6,-'Pt 2 Premium and Claims'!R$7,-'Pt 2 Premium and Claims'!R$13,'Pt 2 Premium and Claims'!R$14)</f>
        <v>6055582.9000000004</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361928623</v>
      </c>
      <c r="AT5" s="107">
        <f>SUM('Pt 2 Premium and Claims'!AT$5,'Pt 2 Premium and Claims'!AT$6,-'Pt 2 Premium and Claims'!AT$7,-'Pt 2 Premium and Claims'!AT$13,'Pt 2 Premium and Claims'!AT$14)</f>
        <v>975844</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v>-5851</v>
      </c>
      <c r="K7" s="110">
        <v>-20415.491120953</v>
      </c>
      <c r="L7" s="110">
        <v>-14564.491120953</v>
      </c>
      <c r="M7" s="110"/>
      <c r="N7" s="110"/>
      <c r="O7" s="109"/>
      <c r="P7" s="109">
        <v>-10616</v>
      </c>
      <c r="Q7" s="110">
        <v>-23090.215372691513</v>
      </c>
      <c r="R7" s="110">
        <v>-12474.215372691511</v>
      </c>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-132322</v>
      </c>
      <c r="E8" s="289"/>
      <c r="F8" s="290"/>
      <c r="G8" s="290"/>
      <c r="H8" s="290"/>
      <c r="I8" s="293"/>
      <c r="J8" s="109">
        <v>-72620</v>
      </c>
      <c r="K8" s="289"/>
      <c r="L8" s="290"/>
      <c r="M8" s="290"/>
      <c r="N8" s="290"/>
      <c r="O8" s="293"/>
      <c r="P8" s="109">
        <v>-39354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12106043</v>
      </c>
      <c r="E12" s="106">
        <f>'Pt 2 Premium and Claims'!E$54</f>
        <v>14286146.187999999</v>
      </c>
      <c r="F12" s="106">
        <f>'Pt 2 Premium and Claims'!F$54</f>
        <v>0</v>
      </c>
      <c r="G12" s="106">
        <f>'Pt 2 Premium and Claims'!G$54</f>
        <v>0</v>
      </c>
      <c r="H12" s="106">
        <f>'Pt 2 Premium and Claims'!H$54</f>
        <v>0</v>
      </c>
      <c r="I12" s="105">
        <f>'Pt 2 Premium and Claims'!I$54</f>
        <v>14286146.15</v>
      </c>
      <c r="J12" s="105">
        <f>'Pt 2 Premium and Claims'!J$54</f>
        <v>24106374</v>
      </c>
      <c r="K12" s="106">
        <f>'Pt 2 Premium and Claims'!K$54</f>
        <v>31580879.009627067</v>
      </c>
      <c r="L12" s="106">
        <f>'Pt 2 Premium and Claims'!L$54</f>
        <v>7895617.7765000015</v>
      </c>
      <c r="M12" s="106">
        <f>'Pt 2 Premium and Claims'!M$54</f>
        <v>0</v>
      </c>
      <c r="N12" s="106">
        <f>'Pt 2 Premium and Claims'!N$54</f>
        <v>0</v>
      </c>
      <c r="O12" s="105">
        <f>'Pt 2 Premium and Claims'!O$54</f>
        <v>0</v>
      </c>
      <c r="P12" s="105">
        <f>'Pt 2 Premium and Claims'!P$54</f>
        <v>20829649</v>
      </c>
      <c r="Q12" s="106">
        <f>'Pt 2 Premium and Claims'!Q$54</f>
        <v>25245462.587372936</v>
      </c>
      <c r="R12" s="106">
        <f>'Pt 2 Premium and Claims'!R$54</f>
        <v>4105931.9896999998</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321416940</v>
      </c>
      <c r="AT12" s="107">
        <f>'Pt 2 Premium and Claims'!AT$54</f>
        <v>664576</v>
      </c>
      <c r="AU12" s="107">
        <f>'Pt 2 Premium and Claims'!AU$54</f>
        <v>0</v>
      </c>
      <c r="AV12" s="312"/>
      <c r="AW12" s="317"/>
    </row>
    <row r="13" spans="1:49" ht="25.5" x14ac:dyDescent="0.2">
      <c r="B13" s="155" t="s">
        <v>230</v>
      </c>
      <c r="C13" s="62" t="s">
        <v>37</v>
      </c>
      <c r="D13" s="109">
        <v>907606</v>
      </c>
      <c r="E13" s="110">
        <v>977474.91000000015</v>
      </c>
      <c r="F13" s="110"/>
      <c r="G13" s="289"/>
      <c r="H13" s="290"/>
      <c r="I13" s="109">
        <v>977475</v>
      </c>
      <c r="J13" s="109">
        <v>5786251</v>
      </c>
      <c r="K13" s="110">
        <v>5571287.6468166728</v>
      </c>
      <c r="L13" s="110"/>
      <c r="M13" s="289"/>
      <c r="N13" s="290"/>
      <c r="O13" s="109"/>
      <c r="P13" s="109">
        <v>3923106</v>
      </c>
      <c r="Q13" s="110">
        <v>4145544.223183326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35964604</v>
      </c>
      <c r="AT13" s="113"/>
      <c r="AU13" s="113"/>
      <c r="AV13" s="311"/>
      <c r="AW13" s="318"/>
    </row>
    <row r="14" spans="1:49" ht="25.5" x14ac:dyDescent="0.2">
      <c r="B14" s="155" t="s">
        <v>231</v>
      </c>
      <c r="C14" s="62" t="s">
        <v>6</v>
      </c>
      <c r="D14" s="109">
        <v>33673</v>
      </c>
      <c r="E14" s="110">
        <v>41351.449999999997</v>
      </c>
      <c r="F14" s="110"/>
      <c r="G14" s="288"/>
      <c r="H14" s="291"/>
      <c r="I14" s="109">
        <v>41351</v>
      </c>
      <c r="J14" s="109">
        <v>699074</v>
      </c>
      <c r="K14" s="110">
        <v>656245.8676941091</v>
      </c>
      <c r="L14" s="110"/>
      <c r="M14" s="288"/>
      <c r="N14" s="291"/>
      <c r="O14" s="109"/>
      <c r="P14" s="109">
        <v>438214</v>
      </c>
      <c r="Q14" s="110">
        <v>468364.00230589096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8679659</v>
      </c>
      <c r="AT14" s="113"/>
      <c r="AU14" s="113"/>
      <c r="AV14" s="311"/>
      <c r="AW14" s="318"/>
    </row>
    <row r="15" spans="1:49" ht="38.25" x14ac:dyDescent="0.2">
      <c r="B15" s="155" t="s">
        <v>232</v>
      </c>
      <c r="C15" s="62" t="s">
        <v>7</v>
      </c>
      <c r="D15" s="109">
        <v>166</v>
      </c>
      <c r="E15" s="110">
        <v>165</v>
      </c>
      <c r="F15" s="110"/>
      <c r="G15" s="288"/>
      <c r="H15" s="294"/>
      <c r="I15" s="109">
        <v>165</v>
      </c>
      <c r="J15" s="109">
        <v>575</v>
      </c>
      <c r="K15" s="110">
        <v>575</v>
      </c>
      <c r="L15" s="110"/>
      <c r="M15" s="288"/>
      <c r="N15" s="294"/>
      <c r="O15" s="109"/>
      <c r="P15" s="109">
        <v>550</v>
      </c>
      <c r="Q15" s="110">
        <v>550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5981</v>
      </c>
      <c r="AT15" s="113">
        <v>17</v>
      </c>
      <c r="AU15" s="113"/>
      <c r="AV15" s="311"/>
      <c r="AW15" s="318"/>
    </row>
    <row r="16" spans="1:49" ht="25.5" x14ac:dyDescent="0.2">
      <c r="B16" s="155" t="s">
        <v>233</v>
      </c>
      <c r="C16" s="62" t="s">
        <v>61</v>
      </c>
      <c r="D16" s="109">
        <v>-4220984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1074490</v>
      </c>
      <c r="K17" s="288"/>
      <c r="L17" s="291"/>
      <c r="M17" s="291"/>
      <c r="N17" s="291"/>
      <c r="O17" s="292"/>
      <c r="P17" s="109">
        <v>394408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v>1177592</v>
      </c>
      <c r="K18" s="288"/>
      <c r="L18" s="291"/>
      <c r="M18" s="291"/>
      <c r="N18" s="294"/>
      <c r="O18" s="292"/>
      <c r="P18" s="109">
        <v>476501</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2266847</v>
      </c>
      <c r="K19" s="288"/>
      <c r="L19" s="291"/>
      <c r="M19" s="291"/>
      <c r="N19" s="291"/>
      <c r="O19" s="292"/>
      <c r="P19" s="109">
        <v>709473.00000000012</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14765</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1972</v>
      </c>
      <c r="E22" s="115">
        <f>'Pt 2 Premium and Claims'!E$55</f>
        <v>1972</v>
      </c>
      <c r="F22" s="115">
        <f>'Pt 2 Premium and Claims'!F$55</f>
        <v>0</v>
      </c>
      <c r="G22" s="115">
        <f>'Pt 2 Premium and Claims'!G$55</f>
        <v>0</v>
      </c>
      <c r="H22" s="115">
        <f>'Pt 2 Premium and Claims'!H$55</f>
        <v>0</v>
      </c>
      <c r="I22" s="114">
        <f>'Pt 2 Premium and Claims'!I$55</f>
        <v>1972</v>
      </c>
      <c r="J22" s="114">
        <f>'Pt 2 Premium and Claims'!J$55</f>
        <v>43767</v>
      </c>
      <c r="K22" s="115">
        <f>'Pt 2 Premium and Claims'!K$55</f>
        <v>44169.65</v>
      </c>
      <c r="L22" s="115">
        <f>'Pt 2 Premium and Claims'!L$55</f>
        <v>0</v>
      </c>
      <c r="M22" s="115">
        <f>'Pt 2 Premium and Claims'!M$55</f>
        <v>0</v>
      </c>
      <c r="N22" s="115">
        <f>'Pt 2 Premium and Claims'!N$55</f>
        <v>0</v>
      </c>
      <c r="O22" s="114">
        <f>'Pt 2 Premium and Claims'!O$55</f>
        <v>0</v>
      </c>
      <c r="P22" s="114">
        <f>'Pt 2 Premium and Claims'!P$55</f>
        <v>47338</v>
      </c>
      <c r="Q22" s="115">
        <f>'Pt 2 Premium and Claims'!Q$55</f>
        <v>47522.400000000001</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-218168.2893</v>
      </c>
      <c r="E25" s="110">
        <v>-459007.8493</v>
      </c>
      <c r="F25" s="110"/>
      <c r="G25" s="110"/>
      <c r="H25" s="110"/>
      <c r="I25" s="109">
        <v>-977150</v>
      </c>
      <c r="J25" s="109">
        <v>-471811.09409999999</v>
      </c>
      <c r="K25" s="110">
        <v>164802.87343952921</v>
      </c>
      <c r="L25" s="110">
        <v>636613.9675395292</v>
      </c>
      <c r="M25" s="110"/>
      <c r="N25" s="110"/>
      <c r="O25" s="109"/>
      <c r="P25" s="109">
        <v>-496522.48259999999</v>
      </c>
      <c r="Q25" s="110">
        <v>-621436.00573626789</v>
      </c>
      <c r="R25" s="110">
        <v>-124913.52313626793</v>
      </c>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-3855062.827</v>
      </c>
      <c r="AT25" s="113">
        <v>82568.578550000006</v>
      </c>
      <c r="AU25" s="113"/>
      <c r="AV25" s="113"/>
      <c r="AW25" s="318"/>
    </row>
    <row r="26" spans="1:49" s="5" customFormat="1" x14ac:dyDescent="0.2">
      <c r="A26" s="35"/>
      <c r="B26" s="158" t="s">
        <v>243</v>
      </c>
      <c r="C26" s="62"/>
      <c r="D26" s="109"/>
      <c r="E26" s="110">
        <v>5432.21</v>
      </c>
      <c r="F26" s="110"/>
      <c r="G26" s="110"/>
      <c r="H26" s="110"/>
      <c r="I26" s="109">
        <v>5432</v>
      </c>
      <c r="J26" s="109"/>
      <c r="K26" s="110">
        <v>24270.251967872719</v>
      </c>
      <c r="L26" s="110">
        <v>5258.7219678727206</v>
      </c>
      <c r="M26" s="110"/>
      <c r="N26" s="110"/>
      <c r="O26" s="109"/>
      <c r="P26" s="109"/>
      <c r="Q26" s="110">
        <v>15363.345116705124</v>
      </c>
      <c r="R26" s="110">
        <v>3191.4451167051266</v>
      </c>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102019.76</v>
      </c>
      <c r="E27" s="110">
        <v>102019.76</v>
      </c>
      <c r="F27" s="110"/>
      <c r="G27" s="110"/>
      <c r="H27" s="110"/>
      <c r="I27" s="109">
        <v>102020</v>
      </c>
      <c r="J27" s="109">
        <v>419929.75</v>
      </c>
      <c r="K27" s="110">
        <v>547372.18763082416</v>
      </c>
      <c r="L27" s="110">
        <v>127442.43763082416</v>
      </c>
      <c r="M27" s="110"/>
      <c r="N27" s="110"/>
      <c r="O27" s="109"/>
      <c r="P27" s="109">
        <v>319616.53999999998</v>
      </c>
      <c r="Q27" s="110">
        <v>383526.85196652391</v>
      </c>
      <c r="R27" s="110">
        <v>63910.311966523906</v>
      </c>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4495701.08</v>
      </c>
      <c r="AT27" s="113">
        <v>11835.48</v>
      </c>
      <c r="AU27" s="113"/>
      <c r="AV27" s="314"/>
      <c r="AW27" s="318"/>
    </row>
    <row r="28" spans="1:49" s="5" customFormat="1" x14ac:dyDescent="0.2">
      <c r="A28" s="35"/>
      <c r="B28" s="158" t="s">
        <v>245</v>
      </c>
      <c r="C28" s="62"/>
      <c r="D28" s="109">
        <v>10785.220000000001</v>
      </c>
      <c r="E28" s="110">
        <v>24555.599999999999</v>
      </c>
      <c r="F28" s="110"/>
      <c r="G28" s="110"/>
      <c r="H28" s="110"/>
      <c r="I28" s="109">
        <v>24556</v>
      </c>
      <c r="J28" s="109">
        <v>587249.49999999988</v>
      </c>
      <c r="K28" s="110">
        <v>112984.22209007783</v>
      </c>
      <c r="L28" s="110">
        <v>23546.192090077835</v>
      </c>
      <c r="M28" s="110"/>
      <c r="N28" s="110"/>
      <c r="O28" s="109"/>
      <c r="P28" s="109">
        <v>385763.05000000005</v>
      </c>
      <c r="Q28" s="110">
        <v>81899.539103626448</v>
      </c>
      <c r="R28" s="110">
        <v>14889.749103626453</v>
      </c>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86287.55</v>
      </c>
      <c r="AT28" s="113">
        <v>237.07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-34451.138529999989</v>
      </c>
      <c r="E30" s="110">
        <v>-29896.378529999987</v>
      </c>
      <c r="F30" s="110"/>
      <c r="G30" s="110"/>
      <c r="H30" s="110"/>
      <c r="I30" s="109">
        <v>-70047</v>
      </c>
      <c r="J30" s="109">
        <v>-32163.870030000009</v>
      </c>
      <c r="K30" s="110">
        <v>1427.4678955239797</v>
      </c>
      <c r="L30" s="110">
        <v>40771.457925523988</v>
      </c>
      <c r="M30" s="110"/>
      <c r="N30" s="110"/>
      <c r="O30" s="109"/>
      <c r="P30" s="109">
        <v>-34774.481770000006</v>
      </c>
      <c r="Q30" s="110">
        <v>-34291.142691592693</v>
      </c>
      <c r="R30" s="110">
        <v>-5484.5173215926861</v>
      </c>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-264288.37300000008</v>
      </c>
      <c r="AT30" s="113">
        <v>6530.9766129999998</v>
      </c>
      <c r="AU30" s="113"/>
      <c r="AV30" s="113"/>
      <c r="AW30" s="318"/>
    </row>
    <row r="31" spans="1:49" x14ac:dyDescent="0.2">
      <c r="B31" s="158" t="s">
        <v>248</v>
      </c>
      <c r="C31" s="62"/>
      <c r="D31" s="109">
        <v>22538.120000000003</v>
      </c>
      <c r="E31" s="110"/>
      <c r="F31" s="110"/>
      <c r="G31" s="110"/>
      <c r="H31" s="110"/>
      <c r="I31" s="109"/>
      <c r="J31" s="109">
        <v>25944.97</v>
      </c>
      <c r="K31" s="110">
        <v>154564.25501288427</v>
      </c>
      <c r="L31" s="110">
        <v>128619.28501288427</v>
      </c>
      <c r="M31" s="110"/>
      <c r="N31" s="110"/>
      <c r="O31" s="109"/>
      <c r="P31" s="109">
        <v>7136.8735999999999</v>
      </c>
      <c r="Q31" s="110">
        <v>73075.623879123101</v>
      </c>
      <c r="R31" s="110">
        <v>65938.750279123095</v>
      </c>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135228.84</v>
      </c>
      <c r="F34" s="110"/>
      <c r="G34" s="110"/>
      <c r="H34" s="110"/>
      <c r="I34" s="109">
        <v>135229</v>
      </c>
      <c r="J34" s="109"/>
      <c r="K34" s="110">
        <v>701967.0060485776</v>
      </c>
      <c r="L34" s="110">
        <v>149047.93604857774</v>
      </c>
      <c r="M34" s="110"/>
      <c r="N34" s="110"/>
      <c r="O34" s="109"/>
      <c r="P34" s="109"/>
      <c r="Q34" s="110">
        <v>469005.56159721653</v>
      </c>
      <c r="R34" s="110">
        <v>103690.09159721647</v>
      </c>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6683.6399999999994</v>
      </c>
      <c r="E35" s="110">
        <v>250099.91999999998</v>
      </c>
      <c r="F35" s="110"/>
      <c r="G35" s="110"/>
      <c r="H35" s="110"/>
      <c r="I35" s="109">
        <v>250100</v>
      </c>
      <c r="J35" s="109">
        <v>24323.229999999996</v>
      </c>
      <c r="K35" s="110">
        <v>34732.449961618811</v>
      </c>
      <c r="L35" s="110">
        <v>7380.3699616188178</v>
      </c>
      <c r="M35" s="110"/>
      <c r="N35" s="110"/>
      <c r="O35" s="109"/>
      <c r="P35" s="109">
        <v>18339.880000000008</v>
      </c>
      <c r="Q35" s="110">
        <v>22761.785656185646</v>
      </c>
      <c r="R35" s="110">
        <v>4399.7956561856354</v>
      </c>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217923.59999999998</v>
      </c>
      <c r="AT35" s="113">
        <v>749.65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20065</v>
      </c>
      <c r="E37" s="118">
        <v>20065.02</v>
      </c>
      <c r="F37" s="118"/>
      <c r="G37" s="118"/>
      <c r="H37" s="118"/>
      <c r="I37" s="117">
        <v>20065</v>
      </c>
      <c r="J37" s="117">
        <v>181662</v>
      </c>
      <c r="K37" s="118">
        <v>210148.04999999996</v>
      </c>
      <c r="L37" s="118">
        <v>28486.75</v>
      </c>
      <c r="M37" s="118"/>
      <c r="N37" s="118"/>
      <c r="O37" s="117"/>
      <c r="P37" s="117">
        <v>109439</v>
      </c>
      <c r="Q37" s="118">
        <v>122309.54000000001</v>
      </c>
      <c r="R37" s="118">
        <v>12871.089999999997</v>
      </c>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3617676</v>
      </c>
      <c r="AT37" s="119"/>
      <c r="AU37" s="119"/>
      <c r="AV37" s="119"/>
      <c r="AW37" s="317"/>
    </row>
    <row r="38" spans="1:49" x14ac:dyDescent="0.2">
      <c r="B38" s="155" t="s">
        <v>255</v>
      </c>
      <c r="C38" s="62" t="s">
        <v>16</v>
      </c>
      <c r="D38" s="109">
        <v>5534</v>
      </c>
      <c r="E38" s="110">
        <v>5534.0300000000007</v>
      </c>
      <c r="F38" s="110"/>
      <c r="G38" s="110"/>
      <c r="H38" s="110"/>
      <c r="I38" s="109">
        <v>5534</v>
      </c>
      <c r="J38" s="109">
        <v>61291</v>
      </c>
      <c r="K38" s="110">
        <v>81780.759999999995</v>
      </c>
      <c r="L38" s="110">
        <v>20490.030000000002</v>
      </c>
      <c r="M38" s="110"/>
      <c r="N38" s="110"/>
      <c r="O38" s="109"/>
      <c r="P38" s="109">
        <v>36518</v>
      </c>
      <c r="Q38" s="110">
        <v>45711.109999999993</v>
      </c>
      <c r="R38" s="110">
        <v>9192.9000000000015</v>
      </c>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1536759</v>
      </c>
      <c r="AT38" s="113"/>
      <c r="AU38" s="113"/>
      <c r="AV38" s="113"/>
      <c r="AW38" s="318"/>
    </row>
    <row r="39" spans="1:49" x14ac:dyDescent="0.2">
      <c r="B39" s="158" t="s">
        <v>256</v>
      </c>
      <c r="C39" s="62" t="s">
        <v>17</v>
      </c>
      <c r="D39" s="109">
        <v>8549</v>
      </c>
      <c r="E39" s="110">
        <v>8548.880000000001</v>
      </c>
      <c r="F39" s="110"/>
      <c r="G39" s="110"/>
      <c r="H39" s="110"/>
      <c r="I39" s="109">
        <v>8549</v>
      </c>
      <c r="J39" s="109">
        <v>65175</v>
      </c>
      <c r="K39" s="110">
        <v>69718.73</v>
      </c>
      <c r="L39" s="110">
        <v>4543.54</v>
      </c>
      <c r="M39" s="110"/>
      <c r="N39" s="110"/>
      <c r="O39" s="109"/>
      <c r="P39" s="109">
        <v>39854</v>
      </c>
      <c r="Q39" s="110">
        <v>41935.26999999999</v>
      </c>
      <c r="R39" s="110">
        <v>2081.2400000000002</v>
      </c>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1395269</v>
      </c>
      <c r="AT39" s="113"/>
      <c r="AU39" s="113"/>
      <c r="AV39" s="113"/>
      <c r="AW39" s="318"/>
    </row>
    <row r="40" spans="1:49" x14ac:dyDescent="0.2">
      <c r="B40" s="158" t="s">
        <v>257</v>
      </c>
      <c r="C40" s="62" t="s">
        <v>38</v>
      </c>
      <c r="D40" s="109">
        <v>15492</v>
      </c>
      <c r="E40" s="110">
        <v>15492.490000000002</v>
      </c>
      <c r="F40" s="110"/>
      <c r="G40" s="110"/>
      <c r="H40" s="110"/>
      <c r="I40" s="109">
        <v>15492.49</v>
      </c>
      <c r="J40" s="109">
        <v>543602</v>
      </c>
      <c r="K40" s="110">
        <v>560345.22000000009</v>
      </c>
      <c r="L40" s="110">
        <v>16743.11</v>
      </c>
      <c r="M40" s="110"/>
      <c r="N40" s="110"/>
      <c r="O40" s="109"/>
      <c r="P40" s="109">
        <v>382459</v>
      </c>
      <c r="Q40" s="110">
        <v>390119.64</v>
      </c>
      <c r="R40" s="110">
        <v>7661.0299999999988</v>
      </c>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3348019</v>
      </c>
      <c r="AT40" s="113">
        <v>34</v>
      </c>
      <c r="AU40" s="113"/>
      <c r="AV40" s="113"/>
      <c r="AW40" s="318"/>
    </row>
    <row r="41" spans="1:49" s="5" customFormat="1" ht="25.5" x14ac:dyDescent="0.2">
      <c r="A41" s="35"/>
      <c r="B41" s="158" t="s">
        <v>258</v>
      </c>
      <c r="C41" s="62" t="s">
        <v>129</v>
      </c>
      <c r="D41" s="109">
        <v>6699</v>
      </c>
      <c r="E41" s="110">
        <v>6699.11</v>
      </c>
      <c r="F41" s="110"/>
      <c r="G41" s="110"/>
      <c r="H41" s="110"/>
      <c r="I41" s="109">
        <v>6699.11</v>
      </c>
      <c r="J41" s="109">
        <v>38565</v>
      </c>
      <c r="K41" s="110">
        <v>51737.52</v>
      </c>
      <c r="L41" s="110">
        <v>13172.26</v>
      </c>
      <c r="M41" s="110"/>
      <c r="N41" s="110"/>
      <c r="O41" s="109"/>
      <c r="P41" s="109">
        <v>24584</v>
      </c>
      <c r="Q41" s="110">
        <v>30886.68</v>
      </c>
      <c r="R41" s="110">
        <v>6302.27</v>
      </c>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303167</v>
      </c>
      <c r="AT41" s="113">
        <v>995</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87504</v>
      </c>
      <c r="E44" s="118">
        <v>87504</v>
      </c>
      <c r="F44" s="118"/>
      <c r="G44" s="118"/>
      <c r="H44" s="118"/>
      <c r="I44" s="117">
        <v>87504</v>
      </c>
      <c r="J44" s="117">
        <v>610928</v>
      </c>
      <c r="K44" s="118">
        <v>743255.61526410235</v>
      </c>
      <c r="L44" s="118">
        <v>132327.61526410238</v>
      </c>
      <c r="M44" s="118"/>
      <c r="N44" s="118"/>
      <c r="O44" s="117"/>
      <c r="P44" s="117">
        <v>508847</v>
      </c>
      <c r="Q44" s="118">
        <v>586945.41983938136</v>
      </c>
      <c r="R44" s="118">
        <v>78098.419839381328</v>
      </c>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3673810</v>
      </c>
      <c r="AT44" s="119">
        <v>3612</v>
      </c>
      <c r="AU44" s="119"/>
      <c r="AV44" s="119"/>
      <c r="AW44" s="317"/>
    </row>
    <row r="45" spans="1:49" x14ac:dyDescent="0.2">
      <c r="B45" s="161" t="s">
        <v>262</v>
      </c>
      <c r="C45" s="62" t="s">
        <v>19</v>
      </c>
      <c r="D45" s="109">
        <v>108099</v>
      </c>
      <c r="E45" s="110">
        <v>108099</v>
      </c>
      <c r="F45" s="110"/>
      <c r="G45" s="110"/>
      <c r="H45" s="110"/>
      <c r="I45" s="109">
        <v>108099</v>
      </c>
      <c r="J45" s="109">
        <v>195241</v>
      </c>
      <c r="K45" s="110">
        <v>254847.4963396918</v>
      </c>
      <c r="L45" s="110">
        <v>59606.496339691788</v>
      </c>
      <c r="M45" s="110"/>
      <c r="N45" s="110"/>
      <c r="O45" s="109"/>
      <c r="P45" s="109">
        <v>183408</v>
      </c>
      <c r="Q45" s="110">
        <v>213751.96584374382</v>
      </c>
      <c r="R45" s="110">
        <v>30343.965843743805</v>
      </c>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2125599</v>
      </c>
      <c r="AT45" s="113">
        <v>4544</v>
      </c>
      <c r="AU45" s="113"/>
      <c r="AV45" s="113"/>
      <c r="AW45" s="318"/>
    </row>
    <row r="46" spans="1:49" x14ac:dyDescent="0.2">
      <c r="B46" s="161" t="s">
        <v>263</v>
      </c>
      <c r="C46" s="62" t="s">
        <v>20</v>
      </c>
      <c r="D46" s="109">
        <v>108996</v>
      </c>
      <c r="E46" s="110">
        <v>108996</v>
      </c>
      <c r="F46" s="110"/>
      <c r="G46" s="110"/>
      <c r="H46" s="110"/>
      <c r="I46" s="109">
        <v>108996</v>
      </c>
      <c r="J46" s="109">
        <v>353828</v>
      </c>
      <c r="K46" s="110">
        <v>460574.73420750292</v>
      </c>
      <c r="L46" s="110">
        <v>106746.73420750292</v>
      </c>
      <c r="M46" s="110"/>
      <c r="N46" s="110"/>
      <c r="O46" s="109"/>
      <c r="P46" s="109">
        <v>322690</v>
      </c>
      <c r="Q46" s="110">
        <v>388031.49345627602</v>
      </c>
      <c r="R46" s="110">
        <v>65341.493456276032</v>
      </c>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4343116</v>
      </c>
      <c r="AT46" s="113">
        <v>15946</v>
      </c>
      <c r="AU46" s="113"/>
      <c r="AV46" s="113"/>
      <c r="AW46" s="318"/>
    </row>
    <row r="47" spans="1:49" x14ac:dyDescent="0.2">
      <c r="B47" s="161" t="s">
        <v>264</v>
      </c>
      <c r="C47" s="62" t="s">
        <v>21</v>
      </c>
      <c r="D47" s="109">
        <v>373872</v>
      </c>
      <c r="E47" s="110">
        <v>373872</v>
      </c>
      <c r="F47" s="110"/>
      <c r="G47" s="110"/>
      <c r="H47" s="110"/>
      <c r="I47" s="109">
        <v>373872</v>
      </c>
      <c r="J47" s="109">
        <v>2734924</v>
      </c>
      <c r="K47" s="110">
        <v>3195397.5265241787</v>
      </c>
      <c r="L47" s="110">
        <v>460473.52652417892</v>
      </c>
      <c r="M47" s="110"/>
      <c r="N47" s="110"/>
      <c r="O47" s="109"/>
      <c r="P47" s="109">
        <v>1084413</v>
      </c>
      <c r="Q47" s="110">
        <v>1299772.0373289709</v>
      </c>
      <c r="R47" s="110">
        <v>215359.03732897085</v>
      </c>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7935364</v>
      </c>
      <c r="AT47" s="113">
        <v>1088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63154.568530000004</v>
      </c>
      <c r="E49" s="110">
        <v>36820.498530000004</v>
      </c>
      <c r="F49" s="110"/>
      <c r="G49" s="110"/>
      <c r="H49" s="110"/>
      <c r="I49" s="109">
        <v>36820</v>
      </c>
      <c r="J49" s="109">
        <v>391997.26002999995</v>
      </c>
      <c r="K49" s="110">
        <v>280833.38771646487</v>
      </c>
      <c r="L49" s="110">
        <v>-41196.01231353508</v>
      </c>
      <c r="M49" s="110"/>
      <c r="N49" s="110"/>
      <c r="O49" s="109"/>
      <c r="P49" s="109">
        <v>106629.20817</v>
      </c>
      <c r="Q49" s="110">
        <v>57708.163868322932</v>
      </c>
      <c r="R49" s="110">
        <v>15803.032098322925</v>
      </c>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2344979.6430000002</v>
      </c>
      <c r="AT49" s="113">
        <v>-18597.126613</v>
      </c>
      <c r="AU49" s="113"/>
      <c r="AV49" s="113"/>
      <c r="AW49" s="318"/>
    </row>
    <row r="50" spans="2:49" ht="25.5" x14ac:dyDescent="0.2">
      <c r="B50" s="155" t="s">
        <v>266</v>
      </c>
      <c r="C50" s="62"/>
      <c r="D50" s="109">
        <v>357.75999999999982</v>
      </c>
      <c r="E50" s="110">
        <v>357.75999999999982</v>
      </c>
      <c r="F50" s="110"/>
      <c r="G50" s="110"/>
      <c r="H50" s="110"/>
      <c r="I50" s="109">
        <v>358</v>
      </c>
      <c r="J50" s="109">
        <v>1306.7799999999997</v>
      </c>
      <c r="K50" s="110">
        <v>1718.8495619973601</v>
      </c>
      <c r="L50" s="110">
        <v>412.06956199736044</v>
      </c>
      <c r="M50" s="110"/>
      <c r="N50" s="110"/>
      <c r="O50" s="109"/>
      <c r="P50" s="109">
        <v>1000.71</v>
      </c>
      <c r="Q50" s="110">
        <v>1232.7412200079318</v>
      </c>
      <c r="R50" s="110">
        <v>232.03122000793178</v>
      </c>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13292.220000000001</v>
      </c>
      <c r="AT50" s="113">
        <v>35.630000000000003</v>
      </c>
      <c r="AU50" s="113"/>
      <c r="AV50" s="113"/>
      <c r="AW50" s="318"/>
    </row>
    <row r="51" spans="2:49" x14ac:dyDescent="0.2">
      <c r="B51" s="155" t="s">
        <v>267</v>
      </c>
      <c r="C51" s="62"/>
      <c r="D51" s="109">
        <v>690805</v>
      </c>
      <c r="E51" s="110">
        <v>690805</v>
      </c>
      <c r="F51" s="110"/>
      <c r="G51" s="110"/>
      <c r="H51" s="110"/>
      <c r="I51" s="109">
        <v>690805</v>
      </c>
      <c r="J51" s="109">
        <v>2556630</v>
      </c>
      <c r="K51" s="110">
        <v>3351834.4170567514</v>
      </c>
      <c r="L51" s="110">
        <v>795204.41705675132</v>
      </c>
      <c r="M51" s="110"/>
      <c r="N51" s="110"/>
      <c r="O51" s="109"/>
      <c r="P51" s="109">
        <v>1856939</v>
      </c>
      <c r="Q51" s="110">
        <v>2297528.384195915</v>
      </c>
      <c r="R51" s="110">
        <v>440589.38419591513</v>
      </c>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21502994</v>
      </c>
      <c r="AT51" s="113">
        <v>71659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1998</v>
      </c>
      <c r="E56" s="122">
        <v>2045</v>
      </c>
      <c r="F56" s="122"/>
      <c r="G56" s="122"/>
      <c r="H56" s="122"/>
      <c r="I56" s="121">
        <v>2045</v>
      </c>
      <c r="J56" s="121">
        <v>7311</v>
      </c>
      <c r="K56" s="122">
        <v>7679</v>
      </c>
      <c r="L56" s="122"/>
      <c r="M56" s="122"/>
      <c r="N56" s="122"/>
      <c r="O56" s="121"/>
      <c r="P56" s="121">
        <v>3837</v>
      </c>
      <c r="Q56" s="122">
        <v>4891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39865</v>
      </c>
      <c r="AT56" s="123">
        <v>4858</v>
      </c>
      <c r="AU56" s="123"/>
      <c r="AV56" s="123"/>
      <c r="AW56" s="309"/>
    </row>
    <row r="57" spans="2:49" x14ac:dyDescent="0.2">
      <c r="B57" s="161" t="s">
        <v>273</v>
      </c>
      <c r="C57" s="62" t="s">
        <v>25</v>
      </c>
      <c r="D57" s="124">
        <v>3175</v>
      </c>
      <c r="E57" s="125">
        <v>3084</v>
      </c>
      <c r="F57" s="125"/>
      <c r="G57" s="125"/>
      <c r="H57" s="125"/>
      <c r="I57" s="124">
        <v>3084</v>
      </c>
      <c r="J57" s="124">
        <v>12179</v>
      </c>
      <c r="K57" s="125">
        <v>12957</v>
      </c>
      <c r="L57" s="125">
        <v>3178</v>
      </c>
      <c r="M57" s="125"/>
      <c r="N57" s="125"/>
      <c r="O57" s="124"/>
      <c r="P57" s="124">
        <v>7794</v>
      </c>
      <c r="Q57" s="125">
        <v>8791</v>
      </c>
      <c r="R57" s="125">
        <v>1656</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39865</v>
      </c>
      <c r="AT57" s="126">
        <v>4858</v>
      </c>
      <c r="AU57" s="126"/>
      <c r="AV57" s="126"/>
      <c r="AW57" s="310"/>
    </row>
    <row r="58" spans="2:49" x14ac:dyDescent="0.2">
      <c r="B58" s="161" t="s">
        <v>274</v>
      </c>
      <c r="C58" s="62" t="s">
        <v>26</v>
      </c>
      <c r="D58" s="330"/>
      <c r="E58" s="331"/>
      <c r="F58" s="331"/>
      <c r="G58" s="331"/>
      <c r="H58" s="331"/>
      <c r="I58" s="330"/>
      <c r="J58" s="124">
        <v>924</v>
      </c>
      <c r="K58" s="125">
        <v>924</v>
      </c>
      <c r="L58" s="125"/>
      <c r="M58" s="125"/>
      <c r="N58" s="125"/>
      <c r="O58" s="124"/>
      <c r="P58" s="124">
        <v>65</v>
      </c>
      <c r="Q58" s="125">
        <v>65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4</v>
      </c>
      <c r="AT58" s="126"/>
      <c r="AU58" s="126"/>
      <c r="AV58" s="126"/>
      <c r="AW58" s="310"/>
    </row>
    <row r="59" spans="2:49" x14ac:dyDescent="0.2">
      <c r="B59" s="161" t="s">
        <v>275</v>
      </c>
      <c r="C59" s="62" t="s">
        <v>27</v>
      </c>
      <c r="D59" s="124">
        <v>33721</v>
      </c>
      <c r="E59" s="125">
        <v>32208</v>
      </c>
      <c r="F59" s="125"/>
      <c r="G59" s="125"/>
      <c r="H59" s="125"/>
      <c r="I59" s="124">
        <v>32208</v>
      </c>
      <c r="J59" s="124">
        <v>137784</v>
      </c>
      <c r="K59" s="125">
        <v>137933</v>
      </c>
      <c r="L59" s="125">
        <v>35108</v>
      </c>
      <c r="M59" s="125"/>
      <c r="N59" s="125"/>
      <c r="O59" s="124"/>
      <c r="P59" s="124">
        <v>87650</v>
      </c>
      <c r="Q59" s="125">
        <v>97921</v>
      </c>
      <c r="R59" s="125">
        <v>19622</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456180</v>
      </c>
      <c r="AT59" s="126">
        <v>50495</v>
      </c>
      <c r="AU59" s="126"/>
      <c r="AV59" s="126"/>
      <c r="AW59" s="310"/>
    </row>
    <row r="60" spans="2:49" x14ac:dyDescent="0.2">
      <c r="B60" s="161" t="s">
        <v>276</v>
      </c>
      <c r="C60" s="62"/>
      <c r="D60" s="127">
        <f t="shared" ref="D60:AC60" si="0">D$59/12</f>
        <v>2810.0833333333335</v>
      </c>
      <c r="E60" s="128">
        <f t="shared" si="0"/>
        <v>2684</v>
      </c>
      <c r="F60" s="128">
        <f t="shared" si="0"/>
        <v>0</v>
      </c>
      <c r="G60" s="128">
        <f t="shared" si="0"/>
        <v>0</v>
      </c>
      <c r="H60" s="128">
        <f t="shared" si="0"/>
        <v>0</v>
      </c>
      <c r="I60" s="127">
        <f t="shared" si="0"/>
        <v>2684</v>
      </c>
      <c r="J60" s="127">
        <f t="shared" si="0"/>
        <v>11482</v>
      </c>
      <c r="K60" s="128">
        <f t="shared" si="0"/>
        <v>11494.416666666666</v>
      </c>
      <c r="L60" s="128">
        <f t="shared" si="0"/>
        <v>2925.6666666666665</v>
      </c>
      <c r="M60" s="128">
        <f t="shared" si="0"/>
        <v>0</v>
      </c>
      <c r="N60" s="128">
        <f t="shared" si="0"/>
        <v>0</v>
      </c>
      <c r="O60" s="127">
        <f t="shared" si="0"/>
        <v>0</v>
      </c>
      <c r="P60" s="127">
        <f t="shared" si="0"/>
        <v>7304.166666666667</v>
      </c>
      <c r="Q60" s="128">
        <f t="shared" si="0"/>
        <v>8160.083333333333</v>
      </c>
      <c r="R60" s="128">
        <f t="shared" si="0"/>
        <v>1635.1666666666667</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38015</v>
      </c>
      <c r="AT60" s="129">
        <f>AT$59/12</f>
        <v>4207.916666666667</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-22870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23578812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8249983</v>
      </c>
      <c r="E5" s="118">
        <v>8637428.7499998007</v>
      </c>
      <c r="F5" s="118"/>
      <c r="G5" s="130"/>
      <c r="H5" s="130"/>
      <c r="I5" s="117">
        <v>8637429</v>
      </c>
      <c r="J5" s="117">
        <v>32325482</v>
      </c>
      <c r="K5" s="118">
        <v>40906031.073143102</v>
      </c>
      <c r="L5" s="118">
        <v>10214555.989999998</v>
      </c>
      <c r="M5" s="118"/>
      <c r="N5" s="118"/>
      <c r="O5" s="117"/>
      <c r="P5" s="117">
        <v>24688230</v>
      </c>
      <c r="Q5" s="118">
        <v>32803497.197100002</v>
      </c>
      <c r="R5" s="118">
        <v>6055582.9000000004</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361928623</v>
      </c>
      <c r="AT5" s="119">
        <v>975844</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-239313.88000000129</v>
      </c>
      <c r="K9" s="288"/>
      <c r="L9" s="288"/>
      <c r="M9" s="288"/>
      <c r="N9" s="288"/>
      <c r="O9" s="292"/>
      <c r="P9" s="109">
        <v>239314.70000000036</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-1426225</v>
      </c>
      <c r="E11" s="110"/>
      <c r="F11" s="110"/>
      <c r="G11" s="110"/>
      <c r="H11" s="110"/>
      <c r="I11" s="109"/>
      <c r="J11" s="109">
        <v>7.999999939056579E-2</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-4047889</v>
      </c>
      <c r="AT11" s="113"/>
      <c r="AU11" s="113"/>
      <c r="AV11" s="311"/>
      <c r="AW11" s="318"/>
    </row>
    <row r="12" spans="2:49" x14ac:dyDescent="0.2">
      <c r="B12" s="176" t="s">
        <v>283</v>
      </c>
      <c r="C12" s="133" t="s">
        <v>44</v>
      </c>
      <c r="D12" s="109"/>
      <c r="E12" s="289"/>
      <c r="F12" s="289"/>
      <c r="G12" s="289"/>
      <c r="H12" s="289"/>
      <c r="I12" s="293"/>
      <c r="J12" s="109">
        <v>0.48999999882653356</v>
      </c>
      <c r="K12" s="289"/>
      <c r="L12" s="289"/>
      <c r="M12" s="289"/>
      <c r="N12" s="289"/>
      <c r="O12" s="293"/>
      <c r="P12" s="109">
        <v>-0.35999999940395355</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-3667076</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4117754.9200000009</v>
      </c>
      <c r="F15" s="110"/>
      <c r="G15" s="110"/>
      <c r="H15" s="110"/>
      <c r="I15" s="109">
        <v>4117755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-351373.9</v>
      </c>
      <c r="F16" s="110"/>
      <c r="G16" s="110"/>
      <c r="H16" s="110"/>
      <c r="I16" s="109">
        <v>-351374</v>
      </c>
      <c r="J16" s="109"/>
      <c r="K16" s="110">
        <v>-750038.97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1760809</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3253963.33</v>
      </c>
      <c r="F20" s="110"/>
      <c r="G20" s="110"/>
      <c r="H20" s="110"/>
      <c r="I20" s="109">
        <v>3253963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10779055</v>
      </c>
      <c r="E23" s="288"/>
      <c r="F23" s="288"/>
      <c r="G23" s="288"/>
      <c r="H23" s="288"/>
      <c r="I23" s="292"/>
      <c r="J23" s="109">
        <v>25488600</v>
      </c>
      <c r="K23" s="288"/>
      <c r="L23" s="288"/>
      <c r="M23" s="288"/>
      <c r="N23" s="288"/>
      <c r="O23" s="292"/>
      <c r="P23" s="109">
        <v>19934264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311137869</v>
      </c>
      <c r="AT23" s="113">
        <v>633240</v>
      </c>
      <c r="AU23" s="113"/>
      <c r="AV23" s="311"/>
      <c r="AW23" s="318"/>
    </row>
    <row r="24" spans="2:49" ht="28.5" customHeight="1" x14ac:dyDescent="0.2">
      <c r="B24" s="178" t="s">
        <v>114</v>
      </c>
      <c r="C24" s="133"/>
      <c r="D24" s="293"/>
      <c r="E24" s="110">
        <v>13668093.599999998</v>
      </c>
      <c r="F24" s="110"/>
      <c r="G24" s="110"/>
      <c r="H24" s="110"/>
      <c r="I24" s="109">
        <v>13668093.6</v>
      </c>
      <c r="J24" s="293"/>
      <c r="K24" s="110">
        <v>31708566.120000001</v>
      </c>
      <c r="L24" s="110">
        <v>7051841.9500000011</v>
      </c>
      <c r="M24" s="110"/>
      <c r="N24" s="110"/>
      <c r="O24" s="109"/>
      <c r="P24" s="293"/>
      <c r="Q24" s="110">
        <v>25436937.240000002</v>
      </c>
      <c r="R24" s="110">
        <v>3527111.78</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2753213</v>
      </c>
      <c r="E26" s="288"/>
      <c r="F26" s="288"/>
      <c r="G26" s="288"/>
      <c r="H26" s="288"/>
      <c r="I26" s="292"/>
      <c r="J26" s="109">
        <v>2322474</v>
      </c>
      <c r="K26" s="288"/>
      <c r="L26" s="288"/>
      <c r="M26" s="288"/>
      <c r="N26" s="288"/>
      <c r="O26" s="292"/>
      <c r="P26" s="109">
        <v>1995214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37721564</v>
      </c>
      <c r="AT26" s="113">
        <v>43939</v>
      </c>
      <c r="AU26" s="113"/>
      <c r="AV26" s="311"/>
      <c r="AW26" s="318"/>
    </row>
    <row r="27" spans="2:49" s="5" customFormat="1" ht="25.5" x14ac:dyDescent="0.2">
      <c r="B27" s="178" t="s">
        <v>85</v>
      </c>
      <c r="C27" s="133"/>
      <c r="D27" s="293"/>
      <c r="E27" s="110">
        <v>659404.03800000018</v>
      </c>
      <c r="F27" s="110"/>
      <c r="G27" s="110"/>
      <c r="H27" s="110"/>
      <c r="I27" s="109">
        <v>659404</v>
      </c>
      <c r="J27" s="293"/>
      <c r="K27" s="110">
        <v>427428.84732117323</v>
      </c>
      <c r="L27" s="110">
        <v>189666.82650000002</v>
      </c>
      <c r="M27" s="110"/>
      <c r="N27" s="110"/>
      <c r="O27" s="109"/>
      <c r="P27" s="293"/>
      <c r="Q27" s="110">
        <v>344513.6696788249</v>
      </c>
      <c r="R27" s="110">
        <v>85566.209699999978</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2517430</v>
      </c>
      <c r="K28" s="289"/>
      <c r="L28" s="289"/>
      <c r="M28" s="289"/>
      <c r="N28" s="289"/>
      <c r="O28" s="293"/>
      <c r="P28" s="109">
        <v>855865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25926994</v>
      </c>
      <c r="AT28" s="113">
        <v>12603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16521</v>
      </c>
      <c r="K30" s="288"/>
      <c r="L30" s="288"/>
      <c r="M30" s="288"/>
      <c r="N30" s="288"/>
      <c r="O30" s="292"/>
      <c r="P30" s="109">
        <v>198</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14689.91</v>
      </c>
      <c r="L31" s="110"/>
      <c r="M31" s="110"/>
      <c r="N31" s="110"/>
      <c r="O31" s="109"/>
      <c r="P31" s="293"/>
      <c r="Q31" s="110">
        <v>-8915.32</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10944</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1177592</v>
      </c>
      <c r="K38" s="288"/>
      <c r="L38" s="288"/>
      <c r="M38" s="288"/>
      <c r="N38" s="288"/>
      <c r="O38" s="292"/>
      <c r="P38" s="109">
        <v>476501</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53425</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-1426225</v>
      </c>
      <c r="E41" s="288"/>
      <c r="F41" s="288"/>
      <c r="G41" s="288"/>
      <c r="H41" s="288"/>
      <c r="I41" s="292"/>
      <c r="J41" s="109">
        <v>14765</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-4047889</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2266847</v>
      </c>
      <c r="K43" s="289"/>
      <c r="L43" s="289"/>
      <c r="M43" s="289"/>
      <c r="N43" s="289"/>
      <c r="O43" s="293"/>
      <c r="P43" s="109">
        <v>709473</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-3667076</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v>41351.449999999997</v>
      </c>
      <c r="F49" s="110"/>
      <c r="G49" s="110"/>
      <c r="H49" s="110"/>
      <c r="I49" s="109">
        <v>41351.449999999997</v>
      </c>
      <c r="J49" s="109">
        <v>240492</v>
      </c>
      <c r="K49" s="110">
        <v>656245.86769410921</v>
      </c>
      <c r="L49" s="110"/>
      <c r="M49" s="110"/>
      <c r="N49" s="110"/>
      <c r="O49" s="109"/>
      <c r="P49" s="109">
        <v>61881</v>
      </c>
      <c r="Q49" s="110">
        <v>468364.00230589096</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2257353</v>
      </c>
      <c r="AT49" s="113"/>
      <c r="AU49" s="113"/>
      <c r="AV49" s="311"/>
      <c r="AW49" s="318"/>
    </row>
    <row r="50" spans="2:49" x14ac:dyDescent="0.2">
      <c r="B50" s="176" t="s">
        <v>119</v>
      </c>
      <c r="C50" s="133" t="s">
        <v>34</v>
      </c>
      <c r="D50" s="109"/>
      <c r="E50" s="289"/>
      <c r="F50" s="289"/>
      <c r="G50" s="289"/>
      <c r="H50" s="289"/>
      <c r="I50" s="293"/>
      <c r="J50" s="109">
        <v>122135</v>
      </c>
      <c r="K50" s="289"/>
      <c r="L50" s="289"/>
      <c r="M50" s="289"/>
      <c r="N50" s="289"/>
      <c r="O50" s="293"/>
      <c r="P50" s="109">
        <v>50691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1069242</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86440</v>
      </c>
      <c r="L53" s="110">
        <v>654109</v>
      </c>
      <c r="M53" s="110"/>
      <c r="N53" s="110"/>
      <c r="O53" s="109"/>
      <c r="P53" s="109"/>
      <c r="Q53" s="110">
        <v>-58709</v>
      </c>
      <c r="R53" s="110">
        <v>493254</v>
      </c>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12106043</v>
      </c>
      <c r="E54" s="115">
        <f>E24+E27+E31+E35-E36+E39+E42+E45+E46-E49+E51+E52+E53</f>
        <v>14286146.187999999</v>
      </c>
      <c r="F54" s="115">
        <f>F24+F27+F31+F35-F36+F39+F42+F45+F46-F49+F51+F52+F53</f>
        <v>0</v>
      </c>
      <c r="G54" s="115">
        <f>G24+G27+G31+G35-G36+G39+G42+G45+G46-G49+G51+G52+G53</f>
        <v>0</v>
      </c>
      <c r="H54" s="115">
        <f>H24+H27+H31+H35-H36+H39+H42+H45+H46-H49+H51+H52+H53</f>
        <v>0</v>
      </c>
      <c r="I54" s="114">
        <f>I24+I27+I31+I35-I36+I39+I42+I45+I46-I49+I51+I52+I53</f>
        <v>14286146.15</v>
      </c>
      <c r="J54" s="114">
        <f>J23+J26-J28+J30-J32+J34-J36+J38+J41-J43+J45+J46-J47-J49+J50+J51+J52+J53</f>
        <v>24106374</v>
      </c>
      <c r="K54" s="115">
        <f>K24+K27+K31+K35-K36+K39+K42+K45+K46-K49+K51+K52+K53</f>
        <v>31580879.009627067</v>
      </c>
      <c r="L54" s="115">
        <f>L24+L27+L31+L35-L36+L39+L42+L45+L46-L49+L51+L52+L53</f>
        <v>7895617.7765000015</v>
      </c>
      <c r="M54" s="115">
        <f>M24+M27+M31+M35-M36+M39+M42+M45+M46-M49+M51+M52+M53</f>
        <v>0</v>
      </c>
      <c r="N54" s="115">
        <f>N24+N27+N31+N35-N36+N39+N42+N45+N46-N49+N51+N52+N53</f>
        <v>0</v>
      </c>
      <c r="O54" s="114">
        <f>O24+O27+O31+O35-O36+O39+O42+O45+O46-O49+O51+O52+O53</f>
        <v>0</v>
      </c>
      <c r="P54" s="114">
        <f>P23+P26-P28+P30-P32+P34-P36+P38+P41-P43+P45+P46-P47-P49+P50+P51+P52+P53</f>
        <v>20829649</v>
      </c>
      <c r="Q54" s="115">
        <f>Q24+Q27+Q31+Q35-Q36+Q39+Q42+Q45+Q46-Q49+Q51+Q52+Q53</f>
        <v>25245462.587372936</v>
      </c>
      <c r="R54" s="115">
        <f>R24+R27+R31+R35-R36+R39+R42+R45+R46-R49+R51+R52+R53</f>
        <v>4105931.9896999998</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321416940</v>
      </c>
      <c r="AT54" s="116">
        <f>AT23+AT26-AT28+AT30-AT32+AT34-AT36+AT38+AT41-AT43+AT45+AT46-AT47-AT49+AT50+AT51+AT52+AT53</f>
        <v>664576</v>
      </c>
      <c r="AU54" s="116">
        <f>AU23+AU26-AU28+AU30-AU32+AU34-AU36+AU38+AU41-AU43+AU45+AU46-AU47-AU49+AU50+AU51+AU52+AU53</f>
        <v>0</v>
      </c>
      <c r="AV54" s="311"/>
      <c r="AW54" s="318"/>
    </row>
    <row r="55" spans="2:49" ht="25.5" x14ac:dyDescent="0.2">
      <c r="B55" s="181" t="s">
        <v>304</v>
      </c>
      <c r="C55" s="137" t="s">
        <v>28</v>
      </c>
      <c r="D55" s="114">
        <f t="shared" ref="D55:AC55" si="0">MIN(MAX(0,D56),MAX(0,D57))</f>
        <v>1972</v>
      </c>
      <c r="E55" s="115">
        <f t="shared" si="0"/>
        <v>1972</v>
      </c>
      <c r="F55" s="115">
        <f t="shared" si="0"/>
        <v>0</v>
      </c>
      <c r="G55" s="115">
        <f t="shared" si="0"/>
        <v>0</v>
      </c>
      <c r="H55" s="115">
        <f t="shared" si="0"/>
        <v>0</v>
      </c>
      <c r="I55" s="114">
        <f t="shared" si="0"/>
        <v>1972</v>
      </c>
      <c r="J55" s="114">
        <f t="shared" si="0"/>
        <v>43767</v>
      </c>
      <c r="K55" s="115">
        <f t="shared" si="0"/>
        <v>44169.65</v>
      </c>
      <c r="L55" s="115">
        <f t="shared" si="0"/>
        <v>0</v>
      </c>
      <c r="M55" s="115">
        <f t="shared" si="0"/>
        <v>0</v>
      </c>
      <c r="N55" s="115">
        <f t="shared" si="0"/>
        <v>0</v>
      </c>
      <c r="O55" s="114">
        <f t="shared" si="0"/>
        <v>0</v>
      </c>
      <c r="P55" s="114">
        <f t="shared" si="0"/>
        <v>47338</v>
      </c>
      <c r="Q55" s="115">
        <f t="shared" si="0"/>
        <v>47522.400000000001</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11097</v>
      </c>
      <c r="E56" s="110">
        <v>11097</v>
      </c>
      <c r="F56" s="110"/>
      <c r="G56" s="110"/>
      <c r="H56" s="110"/>
      <c r="I56" s="109">
        <v>11097</v>
      </c>
      <c r="J56" s="109">
        <v>43767</v>
      </c>
      <c r="K56" s="110">
        <v>44169.65</v>
      </c>
      <c r="L56" s="110"/>
      <c r="M56" s="110"/>
      <c r="N56" s="110"/>
      <c r="O56" s="109"/>
      <c r="P56" s="109">
        <v>47338</v>
      </c>
      <c r="Q56" s="110">
        <v>47522.400000000001</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1972</v>
      </c>
      <c r="E57" s="110">
        <v>1972</v>
      </c>
      <c r="F57" s="110"/>
      <c r="G57" s="110"/>
      <c r="H57" s="110"/>
      <c r="I57" s="109">
        <v>1972</v>
      </c>
      <c r="J57" s="109">
        <v>70417</v>
      </c>
      <c r="K57" s="110">
        <v>83251</v>
      </c>
      <c r="L57" s="110"/>
      <c r="M57" s="110"/>
      <c r="N57" s="110"/>
      <c r="O57" s="109"/>
      <c r="P57" s="109">
        <v>81213</v>
      </c>
      <c r="Q57" s="110">
        <v>93675.81</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3223189</v>
      </c>
      <c r="AT57" s="113"/>
      <c r="AU57" s="113"/>
      <c r="AV57" s="113"/>
      <c r="AW57" s="318"/>
    </row>
    <row r="58" spans="2:49" s="5" customFormat="1" x14ac:dyDescent="0.2">
      <c r="B58" s="184" t="s">
        <v>484</v>
      </c>
      <c r="C58" s="185"/>
      <c r="D58" s="186"/>
      <c r="E58" s="187">
        <v>685710.10000000009</v>
      </c>
      <c r="F58" s="187"/>
      <c r="G58" s="187"/>
      <c r="H58" s="187"/>
      <c r="I58" s="186">
        <v>685710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23802818.299999997</v>
      </c>
      <c r="I5" s="118">
        <v>26610400.320678119</v>
      </c>
      <c r="J5" s="346"/>
      <c r="K5" s="346"/>
      <c r="L5" s="312"/>
      <c r="M5" s="117">
        <v>17138653.82</v>
      </c>
      <c r="N5" s="118">
        <v>15248606.255921885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14288118.187999999</v>
      </c>
      <c r="F6" s="115">
        <f t="shared" ref="F6:F11" si="0">SUM(C6:E6)</f>
        <v>14288118.187999999</v>
      </c>
      <c r="G6" s="116">
        <f>SUM('Pt 1 Summary of Data'!I$12,'Pt 1 Summary of Data'!I$22)</f>
        <v>14288118.15</v>
      </c>
      <c r="H6" s="109">
        <v>23767976.569237463</v>
      </c>
      <c r="I6" s="110">
        <v>26817371.796172563</v>
      </c>
      <c r="J6" s="115">
        <f>SUM('Pt 1 Summary of Data'!K$12,'Pt 1 Summary of Data'!K$22)+SUM('Pt 1 Summary of Data'!M$12,'Pt 1 Summary of Data'!M$22)-SUM('Pt 1 Summary of Data'!N$12,'Pt 1 Summary of Data'!N$22)</f>
        <v>31625048.659627065</v>
      </c>
      <c r="K6" s="115">
        <f>SUM(H6:J6)</f>
        <v>82210397.025037095</v>
      </c>
      <c r="L6" s="116">
        <f>SUM('Pt 1 Summary of Data'!O$12,'Pt 1 Summary of Data'!O$22)</f>
        <v>0</v>
      </c>
      <c r="M6" s="109">
        <v>17129666.120762531</v>
      </c>
      <c r="N6" s="110">
        <v>15293186.956327442</v>
      </c>
      <c r="O6" s="115">
        <f>SUM('Pt 1 Summary of Data'!Q$12,'Pt 1 Summary of Data'!Q$22)+SUM('Pt 1 Summary of Data'!S$12,'Pt 1 Summary of Data'!S$22)-SUM('Pt 1 Summary of Data'!T$12,'Pt 1 Summary of Data'!T$22)</f>
        <v>25292984.987372935</v>
      </c>
      <c r="P6" s="115">
        <f>SUM(M6:O6)</f>
        <v>57715838.064462908</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56339.530000000013</v>
      </c>
      <c r="F7" s="115">
        <f t="shared" si="0"/>
        <v>56339.530000000013</v>
      </c>
      <c r="G7" s="116">
        <f>SUM('Pt 1 Summary of Data'!I$37:I$41)+MAX(0,MIN('Pt 1 Summary of Data'!I$42,0.3%*('Pt 1 Summary of Data'!I$5-SUM(G$9:G$10))))</f>
        <v>56339.6</v>
      </c>
      <c r="H7" s="109">
        <v>882090.2699999999</v>
      </c>
      <c r="I7" s="110">
        <v>866687.64</v>
      </c>
      <c r="J7" s="115">
        <f>SUM('Pt 1 Summary of Data'!K$37:K$41)+SUM('Pt 1 Summary of Data'!M$37:M$41)-SUM('Pt 1 Summary of Data'!N$37:N$41)+MAX(0,MIN('Pt 1 Summary of Data'!K$42+'Pt 1 Summary of Data'!M$42-'Pt 1 Summary of Data'!N$42,0.3%*('Pt 1 Summary of Data'!K$5+'Pt 1 Summary of Data'!M$5-'Pt 1 Summary of Data'!N$5-SUM(J$10:J$11))))</f>
        <v>973730.28</v>
      </c>
      <c r="K7" s="115">
        <f>SUM(H7:J7)</f>
        <v>2722508.19</v>
      </c>
      <c r="L7" s="116">
        <f>SUM('Pt 1 Summary of Data'!O$37:O$41)+MAX(0,MIN('Pt 1 Summary of Data'!O$42,0.3%*('Pt 1 Summary of Data'!O$5-L$10)))</f>
        <v>0</v>
      </c>
      <c r="M7" s="109">
        <v>593425.36</v>
      </c>
      <c r="N7" s="110">
        <v>457829.04</v>
      </c>
      <c r="O7" s="115">
        <f>SUM('Pt 1 Summary of Data'!Q$37:Q$41)+SUM('Pt 1 Summary of Data'!S$37:S$41)-SUM('Pt 1 Summary of Data'!T$37:T$41)+MAX(0,MIN('Pt 1 Summary of Data'!Q$42+'Pt 1 Summary of Data'!S$42-'Pt 1 Summary of Data'!T$42,0.3%*('Pt 1 Summary of Data'!Q$5+'Pt 1 Summary of Data'!S$5-'Pt 1 Summary of Data'!T$5)))</f>
        <v>630962.24000000011</v>
      </c>
      <c r="P7" s="115">
        <f>SUM(M7:O7)</f>
        <v>1682216.6400000001</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v>685710.10000000009</v>
      </c>
      <c r="F8" s="269">
        <f t="shared" si="0"/>
        <v>685710.10000000009</v>
      </c>
      <c r="G8" s="270">
        <v>685710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4117754.9200000009</v>
      </c>
      <c r="F9" s="115">
        <f t="shared" si="0"/>
        <v>4117754.9200000009</v>
      </c>
      <c r="G9" s="116">
        <f>'Pt 2 Premium and Claims'!I$15</f>
        <v>4117755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-351373.9</v>
      </c>
      <c r="F10" s="115">
        <f t="shared" si="0"/>
        <v>-351373.9</v>
      </c>
      <c r="G10" s="116">
        <f>'Pt 2 Premium and Claims'!I$16</f>
        <v>-351374</v>
      </c>
      <c r="H10" s="292"/>
      <c r="I10" s="288"/>
      <c r="J10" s="115">
        <f>'Pt 2 Premium and Claims'!K$16+'Pt 2 Premium and Claims'!M$16-'Pt 2 Premium and Claims'!N$16</f>
        <v>-750038.97</v>
      </c>
      <c r="K10" s="115">
        <f>SUM(H10:J10)</f>
        <v>-750038.97</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1760809</v>
      </c>
      <c r="F11" s="115">
        <f t="shared" si="0"/>
        <v>1760809</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8131557.5979999974</v>
      </c>
      <c r="F12" s="115">
        <f>IFERROR(SUM(C$12:E$12)+C$17*MAX(0,E$49-C$49)+D$17*MAX(0,E$49-D$49),0)</f>
        <v>8131557.5979999974</v>
      </c>
      <c r="G12" s="311"/>
      <c r="H12" s="114">
        <f>SUM(H$6:H$7)+IF(AND(OR('Company Information'!$C$12="District of Columbia",'Company Information'!$C$12="Massachusetts",'Company Information'!$C$12="Vermont"),SUM($H$6:$K$11,$H$15:$K$16,$H$37:$I$37)&lt;&gt;0),SUM(C$6:C$7),0)</f>
        <v>24650066.839237463</v>
      </c>
      <c r="I12" s="115">
        <f>SUM(I$6:I$7)+IF(AND(OR('Company Information'!$C$12="District of Columbia",'Company Information'!$C$12="Massachusetts",'Company Information'!$C$12="Vermont"),SUM($H$6:$K$11,$H$15:$K$16,$H$37:$I$37)&lt;&gt;0),SUM(D$6:D$7),0)</f>
        <v>27684059.436172564</v>
      </c>
      <c r="J12" s="115">
        <f>SUM(J$6:J$7)-SUM(J$10:J$11)+IF(AND(OR('Company Information'!$C$12="District of Columbia",'Company Information'!$C$12="Massachusetts",'Company Information'!$C$12="Vermont"),SUM($H$6:$K$11,$H$15:$K$16,$H$37:$I$37)&lt;&gt;0),SUM(E$6:E$7)-SUM(E$8:E$11),0)</f>
        <v>33348817.909627065</v>
      </c>
      <c r="K12" s="115">
        <f>IFERROR(SUM(H$12:J$12)+H$17*MAX(0,J$49-H$49)+I$17*MAX(0,J$49-I$49),0)</f>
        <v>85682944.185037091</v>
      </c>
      <c r="L12" s="311"/>
      <c r="M12" s="114">
        <f>SUM(M$6:M$7)</f>
        <v>17723091.48076253</v>
      </c>
      <c r="N12" s="115">
        <f>SUM(N$6:N$7)</f>
        <v>15751015.996327441</v>
      </c>
      <c r="O12" s="115">
        <f>SUM(O$6:O$7)</f>
        <v>25923947.227372933</v>
      </c>
      <c r="P12" s="115">
        <f>SUM(M$12:O$12)+M$17*MAX(0,O$49-M$49)+N$17*MAX(0,O$49-N$49)</f>
        <v>59398054.704462901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8637428.7499997988</v>
      </c>
      <c r="F15" s="106">
        <f>SUM(C15:E15)</f>
        <v>8637428.7499997988</v>
      </c>
      <c r="G15" s="107">
        <f>SUM('Pt 1 Summary of Data'!I$5:I$7)-SUM(G$9:G$10)</f>
        <v>8637429</v>
      </c>
      <c r="H15" s="117">
        <v>35087560.049999997</v>
      </c>
      <c r="I15" s="118">
        <v>36866549.544296883</v>
      </c>
      <c r="J15" s="106">
        <f>SUM('Pt 1 Summary of Data'!K$5:K$7)+SUM('Pt 1 Summary of Data'!M$5:M$7)-SUM('Pt 1 Summary of Data'!N$5:N$7)-SUM(J$10:J$11)+I$55</f>
        <v>41154553.108758859</v>
      </c>
      <c r="K15" s="106">
        <f>SUM(H15:J15)</f>
        <v>113108662.70305574</v>
      </c>
      <c r="L15" s="107">
        <f>SUM('Pt 1 Summary of Data'!O$5:O$7)-L$10</f>
        <v>0</v>
      </c>
      <c r="M15" s="117">
        <v>22337042.91</v>
      </c>
      <c r="N15" s="118">
        <v>19402943.566079859</v>
      </c>
      <c r="O15" s="106">
        <f>SUM('Pt 1 Summary of Data'!Q$5:Q$7)+SUM('Pt 1 Summary of Data'!S$5:S$7)-SUM('Pt 1 Summary of Data'!T$5:T$7)+N$55</f>
        <v>32900525.570632923</v>
      </c>
      <c r="P15" s="106">
        <f>SUM(M15:O15)</f>
        <v>74640512.046712786</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28432.102169999998</v>
      </c>
      <c r="F16" s="115">
        <f>SUM(C16:E16)</f>
        <v>28432.102169999998</v>
      </c>
      <c r="G16" s="116">
        <f>SUM('Pt 1 Summary of Data'!I$25:I$28,'Pt 1 Summary of Data'!I$30,'Pt 1 Summary of Data'!I$34:I$35)+IF('Company Information'!$C$15="No",IF(MAX('Pt 1 Summary of Data'!I$31:I$32)=0,MIN('Pt 1 Summary of Data'!I$31:I$32),MAX('Pt 1 Summary of Data'!I$31:I$32)),SUM('Pt 1 Summary of Data'!I$31:I$32))</f>
        <v>-529860</v>
      </c>
      <c r="H16" s="109">
        <v>811855.95</v>
      </c>
      <c r="I16" s="110">
        <v>1181932.2294792582</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1750742.7255972435</v>
      </c>
      <c r="K16" s="115">
        <f>SUM(H16:J16)</f>
        <v>3744530.9050765019</v>
      </c>
      <c r="L16" s="116">
        <f>SUM('Pt 1 Summary of Data'!O$25:O$28,'Pt 1 Summary of Data'!O$30,'Pt 1 Summary of Data'!O$34:O$35)+IF('Company Information'!$C$15="No",IF(MAX('Pt 1 Summary of Data'!O$31:O$32)=0,MIN('Pt 1 Summary of Data'!O$31:O$32),MAX('Pt 1 Summary of Data'!O$31:O$32)),SUM('Pt 1 Summary of Data'!O$31:O$32))</f>
        <v>0</v>
      </c>
      <c r="M16" s="109">
        <v>147914.91</v>
      </c>
      <c r="N16" s="110">
        <v>342901.09736692201</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392028.35504025384</v>
      </c>
      <c r="P16" s="115">
        <f>SUM(M16:O16)</f>
        <v>882844.36240717582</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8608996.647829799</v>
      </c>
      <c r="F17" s="115">
        <f>F$15-F$16+IF(AND(OR('Company Information'!$C$12="District of Columbia",'Company Information'!$C$12="Massachusetts",'Company Information'!$C$12="Vermont"),SUM($C$6:$F$11,$C$15:$F$16,$C$37:$D$37)&lt;&gt;0),K$15-K$16,0)</f>
        <v>8608996.647829799</v>
      </c>
      <c r="G17" s="314"/>
      <c r="H17" s="114">
        <f>H$15-H$16+IF(AND(OR('Company Information'!$C$12="District of Columbia",'Company Information'!$C$12="Massachusetts",'Company Information'!$C$12="Vermont"),SUM($H$6:$K$11,$H$15:$K$16,$H$37:$I$37)&lt;&gt;0),C$15-C$16,0)</f>
        <v>34275704.099999994</v>
      </c>
      <c r="I17" s="115">
        <f>I$15-I$16+IF(AND(OR('Company Information'!$C$12="District of Columbia",'Company Information'!$C$12="Massachusetts",'Company Information'!$C$12="Vermont"),SUM($H$6:$K$11,$H$15:$K$16,$H$37:$I$37)&lt;&gt;0),D$15-D$16,0)</f>
        <v>35684617.314817622</v>
      </c>
      <c r="J17" s="115">
        <f>J$15-J$16+IF(AND(OR('Company Information'!$C$12="District of Columbia",'Company Information'!$C$12="Massachusetts",'Company Information'!$C$12="Vermont"),SUM($H$6:$K$11,$H$15:$K$16,$H$37:$I$37)&lt;&gt;0),E$15-E$16,0)</f>
        <v>39403810.383161619</v>
      </c>
      <c r="K17" s="115">
        <f>K$15-K$16+IF(AND(OR('Company Information'!$C$12="District of Columbia",'Company Information'!$C$12="Massachusetts",'Company Information'!$C$12="Vermont"),SUM($H$6:$K$11,$H$15:$K$16,$H$37:$I$37)&lt;&gt;0),F$15-F$16,0)</f>
        <v>109364131.79797924</v>
      </c>
      <c r="L17" s="314"/>
      <c r="M17" s="114">
        <f>M$15-M$16</f>
        <v>22189128</v>
      </c>
      <c r="N17" s="115">
        <f>N$15-N$16</f>
        <v>19060042.468712937</v>
      </c>
      <c r="O17" s="115">
        <f>O$15-O$16</f>
        <v>32508497.215592671</v>
      </c>
      <c r="P17" s="115">
        <f>P$15-P$16</f>
        <v>73757667.684305608</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9892366.75</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1406454</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1.0790940211440918</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2.8400000000000002E-2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535369.67760000005</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-2131531.75</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535369.67760000005</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1411963.6776000001</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1411963.6776000001</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1563948.8076000002</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1303597.8</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7225465.3223999999</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1303597.8</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7333831.2000000002</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1.3488675264301146</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1760809</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1760809</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2684</v>
      </c>
      <c r="F37" s="256">
        <f>SUM(C$37:E$37)+IF(AND(OR('Company Information'!$C$12="District of Columbia",'Company Information'!$C$12="Massachusetts",'Company Information'!$C$12="Vermont"),SUM($C$6:$F$11,$C$15:$F$16,$C$37:$D$37)&lt;&gt;0,SUM(C$37:D$37)&lt;&gt;SUM(H$37:I$37)),SUM(H$37:I$37),0)</f>
        <v>2684</v>
      </c>
      <c r="G37" s="312"/>
      <c r="H37" s="121">
        <v>9768.75</v>
      </c>
      <c r="I37" s="122">
        <v>10097</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11494.416666666666</v>
      </c>
      <c r="K37" s="256">
        <f>SUM(H$37:J$37)+IF(AND(OR('Company Information'!$C$12="District of Columbia",'Company Information'!$C$12="Massachusetts",'Company Information'!$C$12="Vermont"),SUM($H$6:$K$11,$H$15:$K$16,$H$37:$I$37)&lt;&gt;0,SUM(H$37:I$37)&lt;&gt;SUM(C$37:D$37)),SUM(C$37:D$37),0)</f>
        <v>31360.166666666664</v>
      </c>
      <c r="L37" s="312"/>
      <c r="M37" s="121">
        <v>6031.916666666667</v>
      </c>
      <c r="N37" s="122">
        <v>5264</v>
      </c>
      <c r="O37" s="256">
        <f>('Pt 1 Summary of Data'!Q$59+'Pt 1 Summary of Data'!S$59-'Pt 1 Summary of Data'!T$59)/12</f>
        <v>8160.083333333333</v>
      </c>
      <c r="P37" s="256">
        <f>SUM(M$37:O$37)</f>
        <v>19456</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5.0895999999999997E-2</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1.4982373333333333E-2</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 ca="1">IF(OR(F$37&lt;1000,F$37&gt;=75000),0,F$38*F$40)</f>
        <v>5.0895999999999997E-2</v>
      </c>
      <c r="G41" s="311"/>
      <c r="H41" s="292"/>
      <c r="I41" s="288"/>
      <c r="J41" s="288"/>
      <c r="K41" s="260">
        <f ca="1">IF(OR(K$37&lt;1000,K$37&gt;=75000),0,K$38*K$40)</f>
        <v>1.4982373333333333E-2</v>
      </c>
      <c r="L41" s="311"/>
      <c r="M41" s="292"/>
      <c r="N41" s="288"/>
      <c r="O41" s="288"/>
      <c r="P41" s="260">
        <f ca="1">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f>IF(OR(E$37&lt;1000,E$17&lt;=0),"",E$12/E$17)</f>
        <v>0.94454184739981784</v>
      </c>
      <c r="F44" s="260">
        <f>IF(OR(F$37&lt;1000,F$17&lt;=0),"",F$12/F$17)</f>
        <v>0.94454184739981784</v>
      </c>
      <c r="G44" s="311"/>
      <c r="H44" s="262">
        <f>IF(OR(H$37&lt;1000,H$17&lt;=0),"",H$12/H$17)</f>
        <v>0.71917025445547211</v>
      </c>
      <c r="I44" s="260">
        <f>IF(OR(I$37&lt;1000,I$17&lt;=0),"",I$12/I$17)</f>
        <v>0.77579813150124721</v>
      </c>
      <c r="J44" s="260">
        <f>IF(OR(J$37&lt;1000,J$17&lt;=0),"",J$12/J$17)</f>
        <v>0.8463348489738437</v>
      </c>
      <c r="K44" s="260">
        <f>IF(OR(K$37&lt;1000,K$17&lt;=0),"",K$12/K$17)</f>
        <v>0.78346476835122913</v>
      </c>
      <c r="L44" s="311"/>
      <c r="M44" s="262">
        <f>IF(OR(M$37&lt;1000,M$17&lt;=0),"",M$12/M$17)</f>
        <v>0.79872861523726979</v>
      </c>
      <c r="N44" s="260">
        <f>IF(OR(N$37&lt;1000,N$17&lt;=0),"",N$12/N$17)</f>
        <v>0.82638934420963317</v>
      </c>
      <c r="O44" s="260">
        <f>IF(OR(O$37&lt;1000,O$17&lt;=0),"",O$12/O$17)</f>
        <v>0.79745141879208536</v>
      </c>
      <c r="P44" s="260">
        <f>IF(OR(P$37&lt;1000,P$17&lt;=0),"",P$12/P$17)</f>
        <v>0.80531362459420353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 ca="1">IF(F$44="","",F$41)</f>
        <v>5.0895999999999997E-2</v>
      </c>
      <c r="G46" s="311"/>
      <c r="H46" s="292"/>
      <c r="I46" s="288"/>
      <c r="J46" s="288"/>
      <c r="K46" s="260">
        <f ca="1">IF(K$44="","",K$41)</f>
        <v>1.4982373333333333E-2</v>
      </c>
      <c r="L46" s="311"/>
      <c r="M46" s="292"/>
      <c r="N46" s="288"/>
      <c r="O46" s="288"/>
      <c r="P46" s="260">
        <f ca="1">IF(P$44="","",P$41)</f>
        <v>0</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 ca="1">IF(F$44="","",ROUND(F$44+MAX(0,F$46),3))</f>
        <v>0.995</v>
      </c>
      <c r="G47" s="311"/>
      <c r="H47" s="292"/>
      <c r="I47" s="288"/>
      <c r="J47" s="288"/>
      <c r="K47" s="260">
        <f ca="1">IF(K$44="","",ROUND(K$44+MAX(0,K$46),3))</f>
        <v>0.79800000000000004</v>
      </c>
      <c r="L47" s="311"/>
      <c r="M47" s="292"/>
      <c r="N47" s="288"/>
      <c r="O47" s="288"/>
      <c r="P47" s="260">
        <f ca="1">IF(P$44="","",ROUND(P$44+MAX(0,P$46),3))</f>
        <v>0.80500000000000005</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2015</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0.995</v>
      </c>
      <c r="G50" s="311"/>
      <c r="H50" s="293"/>
      <c r="I50" s="289"/>
      <c r="J50" s="289"/>
      <c r="K50" s="260">
        <f ca="1">K$47</f>
        <v>0.79800000000000004</v>
      </c>
      <c r="L50" s="311"/>
      <c r="M50" s="293"/>
      <c r="N50" s="289"/>
      <c r="O50" s="289"/>
      <c r="P50" s="260">
        <f ca="1">P$47</f>
        <v>0.80500000000000005</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8608996.647829799</v>
      </c>
      <c r="G51" s="311"/>
      <c r="H51" s="292"/>
      <c r="I51" s="288"/>
      <c r="J51" s="288"/>
      <c r="K51" s="115">
        <f>IF(K$37&lt;1000,"",MAX(0,J$15-J$16))</f>
        <v>39403810.383161619</v>
      </c>
      <c r="L51" s="311"/>
      <c r="M51" s="292"/>
      <c r="N51" s="288"/>
      <c r="O51" s="288"/>
      <c r="P51" s="115">
        <f>IF(P$37&lt;1000,"",MAX(0,O$15-O$16))</f>
        <v>32508497.215592671</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 ca="1">IF(OR(F$37&lt;1000,F$17&lt;=0),0,MAX(0,F$49-F$50)*F$51)</f>
        <v>0</v>
      </c>
      <c r="G52" s="311"/>
      <c r="H52" s="292"/>
      <c r="I52" s="288"/>
      <c r="J52" s="288"/>
      <c r="K52" s="115">
        <f ca="1">IF(OR(K$37&lt;1000,K$17&lt;=0),0,MAX(0,K$49-K$50)*K$51)</f>
        <v>78807.620766323307</v>
      </c>
      <c r="L52" s="311"/>
      <c r="M52" s="292"/>
      <c r="N52" s="288"/>
      <c r="O52" s="288"/>
      <c r="P52" s="115">
        <f ca="1">IF(OR(P$37&lt;1000,P$17&lt;=0),0,MAX(0,P$49-P$50)*P$51)</f>
        <v>1462882.3747016678</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v>268937.52673670719</v>
      </c>
      <c r="J55" s="288"/>
      <c r="K55" s="288"/>
      <c r="L55" s="311"/>
      <c r="M55" s="292"/>
      <c r="N55" s="110">
        <v>120118.58890561236</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v>8622.0115503350808</v>
      </c>
      <c r="J56" s="288"/>
      <c r="K56" s="288"/>
      <c r="L56" s="311"/>
      <c r="M56" s="292"/>
      <c r="N56" s="110">
        <v>2122.7961487335701</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2045</v>
      </c>
      <c r="D4" s="149">
        <f>'Pt 1 Summary of Data'!$K$56+'Pt 1 Summary of Data'!$M$56-'Pt 1 Summary of Data'!$N$56</f>
        <v>7679</v>
      </c>
      <c r="E4" s="149">
        <f>'Pt 1 Summary of Data'!$Q$56+'Pt 1 Summary of Data'!$S$56-'Pt 1 Summary of Data'!$T$56</f>
        <v>4891</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1025</v>
      </c>
      <c r="E6" s="123">
        <v>115</v>
      </c>
      <c r="F6" s="363"/>
      <c r="G6" s="123"/>
      <c r="H6" s="123"/>
      <c r="I6" s="363"/>
      <c r="J6" s="363"/>
      <c r="K6" s="372"/>
    </row>
    <row r="7" spans="2:11" x14ac:dyDescent="0.2">
      <c r="B7" s="155" t="s">
        <v>102</v>
      </c>
      <c r="C7" s="124"/>
      <c r="D7" s="126">
        <v>104</v>
      </c>
      <c r="E7" s="126"/>
      <c r="F7" s="126"/>
      <c r="G7" s="126"/>
      <c r="H7" s="126"/>
      <c r="I7" s="374"/>
      <c r="J7" s="374"/>
      <c r="K7" s="209"/>
    </row>
    <row r="8" spans="2:11" x14ac:dyDescent="0.2">
      <c r="B8" s="155" t="s">
        <v>103</v>
      </c>
      <c r="C8" s="361"/>
      <c r="D8" s="126">
        <v>78</v>
      </c>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 ca="1">'Pt 3 MLR and Rebate Calculation'!$K$52</f>
        <v>78807.620766323307</v>
      </c>
      <c r="E11" s="119">
        <f ca="1">'Pt 3 MLR and Rebate Calculation'!$P$52</f>
        <v>1462882.3747016678</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v>-195.59</v>
      </c>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78807.62</v>
      </c>
      <c r="E14" s="113">
        <v>1462882.37</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1177592.3713889825</v>
      </c>
      <c r="E16" s="119">
        <v>476501.06171782385</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v>1</v>
      </c>
      <c r="E18" s="139">
        <v>1</v>
      </c>
      <c r="F18" s="139"/>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c r="D20" s="139">
        <v>1</v>
      </c>
      <c r="E20" s="139">
        <v>1</v>
      </c>
      <c r="F20" s="139"/>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c r="D22" s="212">
        <v>53277.339999999982</v>
      </c>
      <c r="E22" s="212">
        <v>11855.99</v>
      </c>
      <c r="F22" s="212"/>
      <c r="G22" s="212"/>
      <c r="H22" s="212"/>
      <c r="I22" s="359"/>
      <c r="J22" s="359"/>
      <c r="K22" s="368"/>
    </row>
    <row r="23" spans="2:12" s="5" customFormat="1" ht="100.15" customHeight="1" x14ac:dyDescent="0.2">
      <c r="B23" s="102" t="s">
        <v>212</v>
      </c>
      <c r="C23" s="381" t="s">
        <v>507</v>
      </c>
      <c r="D23" s="382"/>
      <c r="E23" s="382"/>
      <c r="F23" s="382"/>
      <c r="G23" s="382"/>
      <c r="H23" s="382"/>
      <c r="I23" s="382"/>
      <c r="J23" s="382"/>
      <c r="K23" s="383"/>
    </row>
    <row r="24" spans="2:12" s="5" customFormat="1" ht="100.15" customHeight="1" x14ac:dyDescent="0.2">
      <c r="B24" s="101" t="s">
        <v>213</v>
      </c>
      <c r="C24" s="384" t="s">
        <v>508</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2015-07-23T00:44:12Z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