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E11" i="16"/>
  <c r="H4" i="16"/>
  <c r="G4" i="16"/>
  <c r="F4" i="16"/>
  <c r="E4" i="16"/>
  <c r="D4" i="16"/>
  <c r="C4" i="16"/>
  <c r="AB52" i="10"/>
  <c r="X52" i="10"/>
  <c r="G11" i="16" s="1"/>
  <c r="T52" i="10"/>
  <c r="F11" i="16" s="1"/>
  <c r="P52" i="10"/>
  <c r="AB51" i="10"/>
  <c r="X51" i="10"/>
  <c r="T51" i="10"/>
  <c r="P51" i="10"/>
  <c r="AB50" i="10"/>
  <c r="P50" i="10"/>
  <c r="AB47" i="10"/>
  <c r="P47" i="10"/>
  <c r="AB46" i="10"/>
  <c r="X46" i="10"/>
  <c r="P46" i="10"/>
  <c r="AB45" i="10"/>
  <c r="AA45" i="10"/>
  <c r="Z45" i="10"/>
  <c r="Y45" i="10"/>
  <c r="X45" i="10"/>
  <c r="X47" i="10" s="1"/>
  <c r="X50" i="10" s="1"/>
  <c r="W45" i="10"/>
  <c r="X38" i="10" s="1"/>
  <c r="V45" i="10"/>
  <c r="U45" i="10"/>
  <c r="T45" i="10"/>
  <c r="T47" i="10" s="1"/>
  <c r="T50" i="10" s="1"/>
  <c r="S45" i="10"/>
  <c r="R45" i="10"/>
  <c r="Q45" i="10"/>
  <c r="P44" i="10"/>
  <c r="O44" i="10"/>
  <c r="N44" i="10"/>
  <c r="M44" i="10"/>
  <c r="AB41" i="10"/>
  <c r="X41" i="10"/>
  <c r="T41" i="10"/>
  <c r="P41" i="10"/>
  <c r="AB40" i="10"/>
  <c r="X40" i="10"/>
  <c r="T40" i="10"/>
  <c r="P40" i="10"/>
  <c r="K40" i="10"/>
  <c r="F40" i="10"/>
  <c r="AB38" i="10"/>
  <c r="AB37" i="10"/>
  <c r="AA37" i="10"/>
  <c r="X37" i="10"/>
  <c r="W37" i="10"/>
  <c r="T37" i="10"/>
  <c r="S37" i="10"/>
  <c r="P37" i="10"/>
  <c r="O37" i="10"/>
  <c r="L29" i="10"/>
  <c r="L28" i="10"/>
  <c r="L25" i="10"/>
  <c r="L21" i="10"/>
  <c r="L20" i="10"/>
  <c r="L19" i="10"/>
  <c r="L24" i="10" s="1"/>
  <c r="AB17" i="10"/>
  <c r="AA17" i="10"/>
  <c r="Z17" i="10"/>
  <c r="Y17" i="10"/>
  <c r="X17" i="10"/>
  <c r="W17" i="10"/>
  <c r="V17" i="10"/>
  <c r="U17" i="10"/>
  <c r="T17" i="10"/>
  <c r="S17" i="10"/>
  <c r="R17" i="10"/>
  <c r="Q17" i="10"/>
  <c r="P17" i="10"/>
  <c r="O17" i="10"/>
  <c r="N17" i="10"/>
  <c r="M17" i="10"/>
  <c r="AB16" i="10"/>
  <c r="AA16" i="10"/>
  <c r="X16" i="10"/>
  <c r="W16" i="10"/>
  <c r="U13" i="10" s="1"/>
  <c r="T16" i="10"/>
  <c r="S16" i="10"/>
  <c r="P16" i="10"/>
  <c r="O16" i="10"/>
  <c r="L16" i="10"/>
  <c r="K16" i="10"/>
  <c r="J16" i="10"/>
  <c r="G16" i="10"/>
  <c r="F16" i="10"/>
  <c r="E16" i="10"/>
  <c r="AB15" i="10"/>
  <c r="AA15" i="10"/>
  <c r="X15" i="10"/>
  <c r="W15" i="10"/>
  <c r="T15" i="10"/>
  <c r="R13" i="10" s="1"/>
  <c r="S15" i="10"/>
  <c r="P15" i="10"/>
  <c r="O15" i="10"/>
  <c r="L15" i="10"/>
  <c r="AB13" i="10"/>
  <c r="AA13" i="10"/>
  <c r="Z13" i="10"/>
  <c r="Y13" i="10"/>
  <c r="V13" i="10"/>
  <c r="S13" i="10"/>
  <c r="Q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T55" i="18"/>
  <c r="AT22" i="4" s="1"/>
  <c r="AS55" i="18"/>
  <c r="AS22" i="4" s="1"/>
  <c r="AC55" i="18"/>
  <c r="AC22" i="4" s="1"/>
  <c r="AB55" i="18"/>
  <c r="AB22" i="4" s="1"/>
  <c r="AA55" i="18"/>
  <c r="Z55" i="18"/>
  <c r="Y55" i="18"/>
  <c r="Y22" i="4" s="1"/>
  <c r="X55" i="18"/>
  <c r="X22" i="4" s="1"/>
  <c r="W55" i="18"/>
  <c r="V55" i="18"/>
  <c r="U55" i="18"/>
  <c r="T55" i="18"/>
  <c r="S55" i="18"/>
  <c r="S22" i="4" s="1"/>
  <c r="R55" i="18"/>
  <c r="R22" i="4" s="1"/>
  <c r="Q55" i="18"/>
  <c r="P55" i="18"/>
  <c r="P22" i="4" s="1"/>
  <c r="O55" i="18"/>
  <c r="O22" i="4" s="1"/>
  <c r="N55" i="18"/>
  <c r="N22" i="4" s="1"/>
  <c r="M55" i="18"/>
  <c r="L55" i="18"/>
  <c r="K55" i="18"/>
  <c r="K22" i="4" s="1"/>
  <c r="J55" i="18"/>
  <c r="J22" i="4" s="1"/>
  <c r="I55" i="18"/>
  <c r="H55" i="18"/>
  <c r="H22" i="4" s="1"/>
  <c r="G55" i="18"/>
  <c r="G22" i="4" s="1"/>
  <c r="F55" i="18"/>
  <c r="F22" i="4" s="1"/>
  <c r="E55" i="18"/>
  <c r="E22" i="4" s="1"/>
  <c r="D55" i="18"/>
  <c r="D22" i="4" s="1"/>
  <c r="AU54" i="18"/>
  <c r="AU12" i="4" s="1"/>
  <c r="AT54" i="18"/>
  <c r="AS54" i="18"/>
  <c r="AS12" i="4" s="1"/>
  <c r="AC54" i="18"/>
  <c r="AC12" i="4" s="1"/>
  <c r="AB54" i="18"/>
  <c r="AA54" i="18"/>
  <c r="Z54" i="18"/>
  <c r="Z12" i="4" s="1"/>
  <c r="Y54" i="18"/>
  <c r="Y12" i="4" s="1"/>
  <c r="X54" i="18"/>
  <c r="X12" i="4" s="1"/>
  <c r="W54" i="18"/>
  <c r="W12" i="4" s="1"/>
  <c r="V54" i="18"/>
  <c r="V12" i="4" s="1"/>
  <c r="U54" i="18"/>
  <c r="U12" i="4" s="1"/>
  <c r="T54" i="18"/>
  <c r="T12" i="4" s="1"/>
  <c r="S54" i="18"/>
  <c r="S12" i="4" s="1"/>
  <c r="R54" i="18"/>
  <c r="R12" i="4" s="1"/>
  <c r="Q54" i="18"/>
  <c r="Q12" i="4" s="1"/>
  <c r="P54" i="18"/>
  <c r="O54" i="18"/>
  <c r="O12" i="4" s="1"/>
  <c r="N54" i="18"/>
  <c r="N12" i="4" s="1"/>
  <c r="M54" i="18"/>
  <c r="M12" i="4" s="1"/>
  <c r="L54" i="18"/>
  <c r="K54" i="18"/>
  <c r="K12" i="4" s="1"/>
  <c r="J54" i="18"/>
  <c r="J12" i="4" s="1"/>
  <c r="I54" i="18"/>
  <c r="I12" i="4" s="1"/>
  <c r="H54" i="18"/>
  <c r="H12" i="4" s="1"/>
  <c r="G54" i="18"/>
  <c r="F54" i="18"/>
  <c r="F12" i="4" s="1"/>
  <c r="E54" i="18"/>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A22" i="4"/>
  <c r="Z22" i="4"/>
  <c r="W22" i="4"/>
  <c r="V22" i="4"/>
  <c r="U22" i="4"/>
  <c r="T22" i="4"/>
  <c r="Q22" i="4"/>
  <c r="M22" i="4"/>
  <c r="L22" i="4"/>
  <c r="I22" i="4"/>
  <c r="AT12" i="4"/>
  <c r="AB12" i="4"/>
  <c r="AA12" i="4"/>
  <c r="P12" i="4"/>
  <c r="L12" i="4"/>
  <c r="G12" i="4"/>
  <c r="E12" i="4"/>
  <c r="AU5" i="4"/>
  <c r="AT5" i="4"/>
  <c r="AS5" i="4"/>
  <c r="AC5" i="4"/>
  <c r="AB5" i="4"/>
  <c r="AA5" i="4"/>
  <c r="Z5" i="4"/>
  <c r="Y5" i="4"/>
  <c r="X5" i="4"/>
  <c r="W5" i="4"/>
  <c r="V5" i="4"/>
  <c r="U5" i="4"/>
  <c r="T5" i="4"/>
  <c r="S5" i="4"/>
  <c r="R5" i="4"/>
  <c r="Q5" i="4"/>
  <c r="P5" i="4"/>
  <c r="O5" i="4"/>
  <c r="N5" i="4"/>
  <c r="M5" i="4"/>
  <c r="L5" i="4"/>
  <c r="K5" i="4"/>
  <c r="J15" i="10" s="1"/>
  <c r="J5" i="4"/>
  <c r="I5" i="4"/>
  <c r="G7" i="10" s="1"/>
  <c r="H5" i="4"/>
  <c r="G5" i="4"/>
  <c r="F5" i="4"/>
  <c r="E5" i="4"/>
  <c r="E15" i="10" s="1"/>
  <c r="D5" i="4"/>
  <c r="K15" i="10" l="1"/>
  <c r="F15" i="10"/>
  <c r="J7" i="10"/>
  <c r="G15" i="10"/>
  <c r="G19" i="10" s="1"/>
  <c r="E7" i="10"/>
  <c r="L23" i="10"/>
  <c r="L27" i="10" s="1"/>
  <c r="L31" i="10" s="1"/>
  <c r="L32" i="10" s="1"/>
  <c r="L33" i="10" s="1"/>
  <c r="G28" i="10"/>
  <c r="T46" i="10"/>
  <c r="T38" i="10"/>
  <c r="P38" i="10"/>
  <c r="T13" i="10"/>
  <c r="W13" i="10"/>
  <c r="X13" i="10"/>
  <c r="G20" i="10" l="1"/>
  <c r="K7" i="10"/>
  <c r="H12" i="10" s="1"/>
  <c r="H17" i="10"/>
  <c r="J12" i="10"/>
  <c r="I17" i="10"/>
  <c r="I44" i="10" s="1"/>
  <c r="I12" i="10"/>
  <c r="J37" i="10"/>
  <c r="J17" i="10"/>
  <c r="F7" i="10"/>
  <c r="C12" i="10" s="1"/>
  <c r="C17" i="10"/>
  <c r="E12" i="10"/>
  <c r="D17" i="10"/>
  <c r="D44" i="10" s="1"/>
  <c r="F17" i="10"/>
  <c r="G21" i="10"/>
  <c r="G25" i="10"/>
  <c r="G29" i="10"/>
  <c r="E17" i="10"/>
  <c r="K17" i="10"/>
  <c r="L26" i="10"/>
  <c r="L30" i="10" s="1"/>
  <c r="C44" i="10" l="1"/>
  <c r="J44" i="10"/>
  <c r="K37" i="10"/>
  <c r="H44" i="10"/>
  <c r="K12" i="10"/>
  <c r="D12" i="10"/>
  <c r="F12" i="10" s="1"/>
  <c r="E37" i="10"/>
  <c r="G24" i="10"/>
  <c r="G23" i="10" s="1"/>
  <c r="G27" i="10" s="1"/>
  <c r="G31" i="10" l="1"/>
  <c r="G32" i="10" s="1"/>
  <c r="G33" i="10" s="1"/>
  <c r="G26" i="10"/>
  <c r="G30" i="10" s="1"/>
  <c r="E44" i="10"/>
  <c r="F37" i="10"/>
  <c r="K51" i="10"/>
  <c r="K38" i="10"/>
  <c r="K41" i="10"/>
  <c r="K44" i="10"/>
  <c r="K52" i="10"/>
  <c r="D11" i="16" s="1"/>
  <c r="K47" i="10" l="1"/>
  <c r="K50" i="10" s="1"/>
  <c r="K46" i="10"/>
  <c r="F41" i="10"/>
  <c r="F51" i="10"/>
  <c r="F52" i="10"/>
  <c r="C11" i="16" s="1"/>
  <c r="F44" i="10"/>
  <c r="F38" i="10"/>
  <c r="F47" i="10" l="1"/>
  <c r="F50" i="10" s="1"/>
  <c r="F46" i="10"/>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<sst xmlns="http://schemas.openxmlformats.org/spreadsheetml/2006/main" count="566" uniqueCount="505">
  <si>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</si>
  <si>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</si>
  <si>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</si>
  <si>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</si>
  <si>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</si>
  <si>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</si>
  <si>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</si>
  <si>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</si>
  <si>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</si>
  <si>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</si>
  <si>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</si>
  <si>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</si>
  <si>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</si>
  <si>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</si>
  <si>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</si>
  <si>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</si>
  <si>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</si>
  <si>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</si>
  <si>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</si>
  <si>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</si>
  <si>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</si>
  <si>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</si>
  <si>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</si>
  <si>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</si>
  <si>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</si>
  <si>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</si>
  <si>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</si>
  <si>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</si>
  <si>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</si>
  <si>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</si>
  <si>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</si>
  <si>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</si>
  <si>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</si>
  <si>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</si>
  <si>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</si>
  <si>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</si>
  <si>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</si>
  <si>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</si>
  <si>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</si>
  <si>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</si>
  <si>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</si>
  <si>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</si>
  <si>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</si>
  <si>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</si>
  <si>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</si>
  <si>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</si>
  <si>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</si>
  <si>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</si>
  <si>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</si>
  <si>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</si>
  <si>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</si>
  <si>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</si>
  <si>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</si>
  <si>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</si>
  <si>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</si>
  <si>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</si>
  <si>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</si>
  <si>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</si>
  <si>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</si>
  <si>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</si>
  <si>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</si>
  <si>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</si>
  <si>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</si>
  <si>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</si>
  <si>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</si>
  <si>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</si>
  <si>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</si>
  <si>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</si>
  <si>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</si>
  <si>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</si>
  <si>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</si>
  <si>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</si>
  <si>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</si>
  <si>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</si>
  <si>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</si>
  <si>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</si>
  <si>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</si>
  <si>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</si>
  <si>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</si>
  <si>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</si>
  <si>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</si>
  <si>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</si>
  <si>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</si>
  <si>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</si>
  <si>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</si>
  <si>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</si>
  <si>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</si>
  <si>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</si>
  <si>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</si>
  <si>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</si>
  <si>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</si>
  <si>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</si>
  <si>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</si>
  <si>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</si>
  <si>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</si>
  <si>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</si>
  <si>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</si>
  <si>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</si>
  <si>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</si>
  <si>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</si>
  <si>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</si>
  <si>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</si>
  <si>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</si>
  <si>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</si>
  <si>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</si>
  <si>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</si>
  <si>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</si>
  <si>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</si>
  <si>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</si>
  <si>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</si>
  <si>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</si>
  <si>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</si>
  <si>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</si>
  <si>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</si>
  <si>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</si>
  <si>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</si>
  <si>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</si>
  <si>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</si>
  <si>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</si>
  <si>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</si>
  <si>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</si>
  <si>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</si>
  <si>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</si>
  <si>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</si>
  <si>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</si>
  <si>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</si>
  <si>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</si>
  <si>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</si>
  <si>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</si>
  <si>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</si>
  <si>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</si>
  <si>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</si>
  <si>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</si>
  <si>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</si>
  <si>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</si>
  <si>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</si>
  <si>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</si>
  <si>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</si>
  <si>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</si>
  <si>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</si>
  <si>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</si>
  <si>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</si>
  <si>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</si>
  <si>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</si>
  <si>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</si>
  <si>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</si>
  <si>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</si>
  <si>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</si>
  <si>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</si>
  <si>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</si>
  <si>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</si>
  <si>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</si>
  <si>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</si>
  <si>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</si>
  <si>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</si>
  <si>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</si>
  <si>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</si>
  <si>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</si>
  <si>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</si>
  <si>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</si>
  <si>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</si>
  <si>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</si>
  <si>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</si>
  <si>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</si>
  <si>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</si>
  <si>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</si>
  <si>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</si>
  <si>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</si>
  <si>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</si>
  <si>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</si>
  <si>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</si>
  <si>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</si>
  <si>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</si>
  <si>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</si>
  <si>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</si>
  <si>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</si>
  <si>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</si>
  <si>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</si>
  <si>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</si>
  <si>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</si>
  <si>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</si>
  <si>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</si>
  <si>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</si>
  <si>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</si>
  <si>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</si>
  <si>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</si>
  <si>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</si>
  <si>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</si>
  <si>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</si>
  <si>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</si>
  <si>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</si>
  <si>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</si>
  <si>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</si>
  <si>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</si>
  <si>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</si>
  <si>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</si>
  <si>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</si>
  <si>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</si>
  <si>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</si>
  <si>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</si>
  <si>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</si>
  <si>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</si>
  <si>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</si>
  <si>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</si>
  <si>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</si>
  <si>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</si>
  <si>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</si>
  <si>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</si>
  <si>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</si>
  <si>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</si>
  <si>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</si>
  <si>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</si>
  <si>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</si>
  <si>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</si>
  <si>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</si>
  <si>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</si>
  <si>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</si>
  <si>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</si>
  <si>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</si>
  <si>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</si>
  <si>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</si>
  <si>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</si>
  <si>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</si>
  <si>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</si>
  <si>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</si>
  <si>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</si>
  <si>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</si>
  <si>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</si>
  <si>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</si>
  <si>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</si>
  <si>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</si>
  <si>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</si>
  <si>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</si>
  <si>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</si>
  <si>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</si>
  <si>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</si>
  <si>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</si>
  <si>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</si>
  <si>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</si>
  <si>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</si>
  <si>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</si>
  <si>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</si>
  <si>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</si>
  <si>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</si>
  <si>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</si>
  <si>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</si>
  <si>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</si>
  <si>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</si>
  <si>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</si>
  <si>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</si>
  <si>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</si>
  <si>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</si>
  <si>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</si>
  <si>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</si>
  <si>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</si>
  <si>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</si>
  <si>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</si>
  <si>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</si>
  <si>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</si>
  <si>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</si>
  <si>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</si>
  <si>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</si>
  <si>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</si>
  <si>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</si>
  <si>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</si>
  <si>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</si>
  <si>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</si>
  <si>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</si>
  <si>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</si>
  <si>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</si>
  <si>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</si>
  <si>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</si>
  <si>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</si>
  <si>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</si>
  <si>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</si>
  <si>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</si>
  <si>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</si>
  <si>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</si>
  <si>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</si>
  <si>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</si>
  <si>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</si>
  <si>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</si>
  <si>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</si>
  <si>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</si>
  <si>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</si>
  <si>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</si>
  <si>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</si>
  <si>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</si>
  <si>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</si>
  <si>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</si>
  <si>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</si>
  <si>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</si>
  <si>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</si>
  <si>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</si>
  <si>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</si>
  <si>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</si>
  <si>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</si>
  <si>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</si>
  <si>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</si>
  <si>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</si>
  <si>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</si>
  <si>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</si>
  <si>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</si>
  <si>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</si>
  <si>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</si>
  <si>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</si>
  <si>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</si>
  <si>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</si>
  <si>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</si>
  <si>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</si>
  <si>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</si>
  <si>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</si>
  <si>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</si>
  <si>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</si>
  <si>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</si>
  <si>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</si>
  <si>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</si>
  <si>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</si>
  <si>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</si>
  <si>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</si>
  <si>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</si>
  <si>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</si>
  <si>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</si>
  <si>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</si>
  <si>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</si>
  <si>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</si>
  <si>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</si>
  <si>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</si>
  <si>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</si>
  <si>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</si>
  <si>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</si>
  <si>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</si>
  <si>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</si>
  <si>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</si>
  <si>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</si>
  <si>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</si>
  <si>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</si>
  <si>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</si>
  <si>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</si>
  <si>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</si>
  <si>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</si>
  <si>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</si>
  <si>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</si>
  <si>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</si>
  <si>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</si>
  <si>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</si>
  <si>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</si>
  <si>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</si>
  <si>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</si>
  <si>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</si>
  <si>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</si>
  <si>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</si>
  <si>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</si>
  <si>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</si>
  <si>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</si>
  <si>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</si>
  <si>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</si>
  <si>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</si>
  <si>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</si>
  <si>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</si>
  <si>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</si>
  <si>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</si>
  <si>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</si>
  <si>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</si>
  <si>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</si>
  <si>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</si>
  <si>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</si>
  <si>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</si>
  <si>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</si>
  <si>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</si>
  <si>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</si>
  <si>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</si>
  <si>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</si>
  <si>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</si>
  <si>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</si>
  <si>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</si>
  <si>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</si>
  <si>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</si>
  <si>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</si>
  <si>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</si>
  <si>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</si>
  <si>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</si>
  <si>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</si>
  <si>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</si>
  <si>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</si>
  <si>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</si>
  <si>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</si>
  <si>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</si>
  <si>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</si>
  <si>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</si>
  <si>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</si>
  <si>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</si>
  <si>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</si>
  <si>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</si>
  <si>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</si>
  <si>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</si>
  <si>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</si>
  <si>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</si>
  <si>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</si>
  <si>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</si>
  <si>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</si>
  <si>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</si>
  <si>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</si>
  <si>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</si>
  <si>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</si>
  <si>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</si>
  <si>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</si>
  <si>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</si>
  <si>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</si>
  <si>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</si>
  <si>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</si>
  <si>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</si>
  <si>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</si>
  <si>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</si>
  <si>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</si>
  <si>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</si>
  <si>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</si>
  <si>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</si>
  <si>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</si>
  <si>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</si>
  <si>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</si>
  <si>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</si>
  <si>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</si>
  <si>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</si>
  <si>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</si>
  <si>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</si>
  <si>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</si>
  <si>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</si>
  <si>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</si>
  <si>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</si>
  <si>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</si>
  <si>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</si>
  <si>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</si>
  <si>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</si>
  <si>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</si>
  <si>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</si>
  <si>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</si>
  <si>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</si>
  <si>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</si>
  <si>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</si>
  <si>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</si>
  <si>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</si>
  <si>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</si>
  <si>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</si>
  <si>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</si>
  <si>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</si>
  <si>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</si>
  <si>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</si>
  <si>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</si>
  <si>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</si>
  <si>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</si>
  <si>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</si>
  <si>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</si>
  <si>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</si>
  <si>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</si>
  <si>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</si>
  <si>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</si>
  <si>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</si>
  <si>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</si>
  <si>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</si>
  <si>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</si>
  <si>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</si>
  <si>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</si>
  <si>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</si>
  <si>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</si>
  <si>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</si>
  <si>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</si>
  <si>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</si>
  <si>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</si>
  <si>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</si>
  <si>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</si>
  <si>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</si>
  <si>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</si>
  <si>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</si>
  <si>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</si>
  <si>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</si>
  <si>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</si>
  <si>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</si>
  <si>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</si>
  <si>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</si>
  <si>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</si>
  <si>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</si>
  <si>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</si>
  <si>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</si>
  <si>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</si>
  <si>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</si>
  <si>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</si>
  <si>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</si>
  <si>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</si>
  <si>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</si>
  <si>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</si>
  <si>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</si>
  <si>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</si>
  <si>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</si>
  <si>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Health Plan, Inc.</t>
  </si>
  <si>
    <t>HUMANA GRP</t>
  </si>
  <si>
    <t>Humana</t>
  </si>
  <si>
    <t>119</t>
  </si>
  <si>
    <t>2014</t>
  </si>
  <si>
    <t>321 West Main Street, 12th Floor Louisville, KY 40202</t>
  </si>
  <si>
    <t>611013183</t>
  </si>
  <si>
    <t>095885</t>
  </si>
  <si>
    <t>95885</t>
  </si>
  <si>
    <t>15517</t>
  </si>
  <si>
    <t>215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</si>
</sst>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136</v>
      </c>
    </row>
    <row r="13" spans="1:6" x14ac:dyDescent="0.2">
      <c r="B13" s="232" t="s">
        <v>50</v>
      </c>
      <c r="C13" s="378" t="s">
        <v>157</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tabSelected="1" zoomScale="80" zoomScaleNormal="80" workbookViewId="0">
      <pane xSplit="2" ySplit="3" topLeftCell="AN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0</v>
      </c>
      <c r="E5" s="106">
        <f>SUM('Pt 2 Premium and Claims'!E$5,'Pt 2 Premium and Claims'!E$6,-'Pt 2 Premium and Claims'!E$7,-'Pt 2 Premium and Claims'!E$13,'Pt 2 Premium and Claims'!E$14:'Pt 2 Premium and Claims'!E$17)</f>
        <v>0</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0</v>
      </c>
      <c r="J5" s="105">
        <f>SUM('Pt 2 Premium and Claims'!J$5,'Pt 2 Premium and Claims'!J$6,-'Pt 2 Premium and Claims'!J$7,-'Pt 2 Premium and Claims'!J$13,'Pt 2 Premium and Claims'!J$14,'Pt 2 Premium and Claims'!J$16:'Pt 2 Premium and Claims'!J$17)</f>
        <v>0</v>
      </c>
      <c r="K5" s="106">
        <f>SUM('Pt 2 Premium and Claims'!K$5,'Pt 2 Premium and Claims'!K$6,-'Pt 2 Premium and Claims'!K$7,-'Pt 2 Premium and Claims'!K$13,'Pt 2 Premium and Claims'!K$14,'Pt 2 Premium and Claims'!K$16:'Pt 2 Premium and Claims'!K$17)</f>
        <v>0</v>
      </c>
      <c r="L5" s="106">
        <f>SUM('Pt 2 Premium and Claims'!L$5,'Pt 2 Premium and Claims'!L$6,-'Pt 2 Premium and Claims'!L$7,-'Pt 2 Premium and Claims'!L$13,'Pt 2 Premium and Claims'!L$14,'Pt 2 Premium and Claims'!L$16:'Pt 2 Premium and Claims'!L$17)</f>
        <v>0</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0</v>
      </c>
      <c r="Q5" s="106">
        <f>SUM('Pt 2 Premium and Claims'!Q$5,'Pt 2 Premium and Claims'!Q$6,-'Pt 2 Premium and Claims'!Q$7,-'Pt 2 Premium and Claims'!Q$13,'Pt 2 Premium and Claims'!Q$14)</f>
        <v>0</v>
      </c>
      <c r="R5" s="106">
        <f>SUM('Pt 2 Premium and Claims'!R$5,'Pt 2 Premium and Claims'!R$6,-'Pt 2 Premium and Claims'!R$7,-'Pt 2 Premium and Claims'!R$13,'Pt 2 Premium and Claims'!R$14)</f>
        <v>0</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c r="AO5" s="106"/>
      <c r="AP5" s="106"/>
      <c r="AQ5" s="106"/>
      <c r="AR5" s="106"/>
      <c r="AS5" s="105">
        <f>SUM('Pt 2 Premium and Claims'!AS$5,'Pt 2 Premium and Claims'!AS$6,-'Pt 2 Premium and Claims'!AS$7,-'Pt 2 Premium and Claims'!AS$13,'Pt 2 Premium and Claims'!AS$14)</f>
        <v>264450106.00000003</v>
      </c>
      <c r="AT5" s="107">
        <f>SUM('Pt 2 Premium and Claims'!AT$5,'Pt 2 Premium and Claims'!AT$6,-'Pt 2 Premium and Claims'!AT$7,-'Pt 2 Premium and Claims'!AT$13,'Pt 2 Premium and Claims'!AT$14)</f>
        <v>1259293</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0</v>
      </c>
      <c r="E12" s="106">
        <f>'Pt 2 Premium and Claims'!E$54</f>
        <v>0</v>
      </c>
      <c r="F12" s="106">
        <f>'Pt 2 Premium and Claims'!F$54</f>
        <v>0</v>
      </c>
      <c r="G12" s="106">
        <f>'Pt 2 Premium and Claims'!G$54</f>
        <v>0</v>
      </c>
      <c r="H12" s="106">
        <f>'Pt 2 Premium and Claims'!H$54</f>
        <v>0</v>
      </c>
      <c r="I12" s="105">
        <f>'Pt 2 Premium and Claims'!I$54</f>
        <v>0</v>
      </c>
      <c r="J12" s="105">
        <f>'Pt 2 Premium and Claims'!J$54</f>
        <v>0</v>
      </c>
      <c r="K12" s="106">
        <f>'Pt 2 Premium and Claims'!K$54</f>
        <v>0</v>
      </c>
      <c r="L12" s="106">
        <f>'Pt 2 Premium and Claims'!L$54</f>
        <v>0</v>
      </c>
      <c r="M12" s="106">
        <f>'Pt 2 Premium and Claims'!M$54</f>
        <v>0</v>
      </c>
      <c r="N12" s="106">
        <f>'Pt 2 Premium and Claims'!N$54</f>
        <v>0</v>
      </c>
      <c r="O12" s="105">
        <f>'Pt 2 Premium and Claims'!O$54</f>
        <v>0</v>
      </c>
      <c r="P12" s="105">
        <f>'Pt 2 Premium and Claims'!P$54</f>
        <v>0</v>
      </c>
      <c r="Q12" s="106">
        <f>'Pt 2 Premium and Claims'!Q$54</f>
        <v>0</v>
      </c>
      <c r="R12" s="106">
        <f>'Pt 2 Premium and Claims'!R$54</f>
        <v>0</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220616196</v>
      </c>
      <c r="AT12" s="107">
        <f>'Pt 2 Premium and Claims'!AT$54</f>
        <v>847262</v>
      </c>
      <c r="AU12" s="107">
        <f>'Pt 2 Premium and Claims'!AU$54</f>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30343808</v>
      </c>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8075825</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4187</v>
      </c>
      <c r="AT15" s="113">
        <v>1583</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0</v>
      </c>
      <c r="E22" s="115">
        <f>'Pt 2 Premium and Claims'!E$55</f>
        <v>0</v>
      </c>
      <c r="F22" s="115">
        <f>'Pt 2 Premium and Claims'!F$55</f>
        <v>0</v>
      </c>
      <c r="G22" s="115">
        <f>'Pt 2 Premium and Claims'!G$55</f>
        <v>0</v>
      </c>
      <c r="H22" s="115">
        <f>'Pt 2 Premium and Claims'!H$55</f>
        <v>0</v>
      </c>
      <c r="I22" s="114">
        <f>'Pt 2 Premium and Claims'!I$55</f>
        <v>0</v>
      </c>
      <c r="J22" s="114">
        <f>'Pt 2 Premium and Claims'!J$55</f>
        <v>0</v>
      </c>
      <c r="K22" s="115">
        <f>'Pt 2 Premium and Claims'!K$55</f>
        <v>0</v>
      </c>
      <c r="L22" s="115">
        <f>'Pt 2 Premium and Claims'!L$55</f>
        <v>0</v>
      </c>
      <c r="M22" s="115">
        <f>'Pt 2 Premium and Claims'!M$55</f>
        <v>0</v>
      </c>
      <c r="N22" s="115">
        <f>'Pt 2 Premium and Claims'!N$55</f>
        <v>0</v>
      </c>
      <c r="O22" s="114">
        <f>'Pt 2 Premium and Claims'!O$55</f>
        <v>0</v>
      </c>
      <c r="P22" s="114">
        <f>'Pt 2 Premium and Claims'!P$55</f>
        <v>0</v>
      </c>
      <c r="Q22" s="115">
        <f>'Pt 2 Premium and Claims'!Q$55</f>
        <v>0</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v>-7.6292246999999994E-2</v>
      </c>
      <c r="Q25" s="110">
        <v>-7.6292246999999994E-2</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3633584.4939999999</v>
      </c>
      <c r="AT25" s="113">
        <v>86981.532149999999</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v>3.96</v>
      </c>
      <c r="Q27" s="110">
        <v>3.96</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3287797.35</v>
      </c>
      <c r="AT27" s="113">
        <v>16250.740000000002</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v>-3.96</v>
      </c>
      <c r="Q28" s="110">
        <v>0.19999999999999998</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58886.319999999992</v>
      </c>
      <c r="AT28" s="113">
        <v>699.25000000000011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v>-3.9659118749999998</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305867.81060000003</v>
      </c>
      <c r="AT30" s="113">
        <v>6938.2357170000005</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32485.07</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v>0.01</v>
      </c>
      <c r="Q35" s="110">
        <v>0.01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150637.23000000004</v>
      </c>
      <c r="AT35" s="113">
        <v>2717.3199999999997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2149040</v>
      </c>
      <c r="AT37" s="119">
        <v>1</v>
      </c>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946041</v>
      </c>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707127</v>
      </c>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2309383</v>
      </c>
      <c r="AT40" s="113">
        <v>58</v>
      </c>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180419</v>
      </c>
      <c r="AT41" s="113">
        <v>1581</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2892141</v>
      </c>
      <c r="AT44" s="119">
        <v>6195</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1364302</v>
      </c>
      <c r="AT45" s="113">
        <v>6560</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3199709</v>
      </c>
      <c r="AT46" s="113">
        <v>24724</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4910463</v>
      </c>
      <c r="AT47" s="113">
        <v>1837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v>0.20591187499999999</v>
      </c>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-146540.32060000009</v>
      </c>
      <c r="AT49" s="113">
        <v>-19390.925717000002</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8972.2199999999975</v>
      </c>
      <c r="AT50" s="113">
        <v>55.78</v>
      </c>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14822005</v>
      </c>
      <c r="AT51" s="113">
        <v>110799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23112</v>
      </c>
      <c r="AT56" s="123">
        <v>7353</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29797</v>
      </c>
      <c r="AT57" s="126">
        <v>7353</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1</v>
      </c>
      <c r="AT58" s="126">
        <v>4</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354445</v>
      </c>
      <c r="AT59" s="126">
        <v>88822</v>
      </c>
      <c r="AU59" s="126"/>
      <c r="AV59" s="126"/>
      <c r="AW59" s="310"/>
    </row>
    <row r="60" spans="2:49" x14ac:dyDescent="0.2">
      <c r="B60" s="161" t="s">
        <v>276</v>
      </c>
      <c r="C60" s="62"/>
      <c r="D60" s="127">
        <f t="shared" ref="D60:AC60" si="0">D$59/12</f>
        <v>0</v>
      </c>
      <c r="E60" s="128">
        <f t="shared" si="0"/>
        <v>0</v>
      </c>
      <c r="F60" s="128">
        <f t="shared" si="0"/>
        <v>0</v>
      </c>
      <c r="G60" s="128">
        <f t="shared" si="0"/>
        <v>0</v>
      </c>
      <c r="H60" s="128">
        <f t="shared" si="0"/>
        <v>0</v>
      </c>
      <c r="I60" s="127">
        <f t="shared" si="0"/>
        <v>0</v>
      </c>
      <c r="J60" s="127">
        <f t="shared" si="0"/>
        <v>0</v>
      </c>
      <c r="K60" s="128">
        <f t="shared" si="0"/>
        <v>0</v>
      </c>
      <c r="L60" s="128">
        <f t="shared" si="0"/>
        <v>0</v>
      </c>
      <c r="M60" s="128">
        <f t="shared" si="0"/>
        <v>0</v>
      </c>
      <c r="N60" s="128">
        <f t="shared" si="0"/>
        <v>0</v>
      </c>
      <c r="O60" s="127">
        <f t="shared" si="0"/>
        <v>0</v>
      </c>
      <c r="P60" s="127">
        <f t="shared" si="0"/>
        <v>0</v>
      </c>
      <c r="Q60" s="128">
        <f t="shared" si="0"/>
        <v>0</v>
      </c>
      <c r="R60" s="128">
        <f t="shared" si="0"/>
        <v>0</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AS$59/12</f>
        <v>29537.083333333332</v>
      </c>
      <c r="AT60" s="129">
        <f>AT$59/12</f>
        <v>7401.833333333333</v>
      </c>
      <c r="AU60" s="129">
        <f>AU$59/12</f>
        <v>0</v>
      </c>
      <c r="AV60" s="129">
        <f>AV$59/12</f>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-14992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-10170494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264450106.00000003</v>
      </c>
      <c r="AT5" s="119">
        <v>1259293</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-3728817</v>
      </c>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-3283069</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223119997</v>
      </c>
      <c r="AT23" s="113">
        <v>820933</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22866033</v>
      </c>
      <c r="AT26" s="113">
        <v>55842</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24142675</v>
      </c>
      <c r="AT28" s="113">
        <v>29513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-10447</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-3728817</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-3283069</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2089397</v>
      </c>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1318433</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0</v>
      </c>
      <c r="E54" s="115">
        <f>E24+E27+E31+E35-E36+E39+E42+E45+E46-E49+E51+E52+E53</f>
        <v>0</v>
      </c>
      <c r="F54" s="115">
        <f>F24+F27+F31+F35-F36+F39+F42+F45+F46-F49+F51+F52+F53</f>
        <v>0</v>
      </c>
      <c r="G54" s="115">
        <f>G24+G27+G31+G35-G36+G39+G42+G45+G46-G49+G51+G52+G53</f>
        <v>0</v>
      </c>
      <c r="H54" s="115">
        <f>H24+H27+H31+H35-H36+H39+H42+H45+H46-H49+H51+H52+H53</f>
        <v>0</v>
      </c>
      <c r="I54" s="114">
        <f>I24+I27+I31+I35-I36+I39+I42+I45+I46-I49+I51+I52+I53</f>
        <v>0</v>
      </c>
      <c r="J54" s="114">
        <f>J23+J26-J28+J30-J32+J34-J36+J38+J41-J43+J45+J46-J47-J49+J50+J51+J52+J53</f>
        <v>0</v>
      </c>
      <c r="K54" s="115">
        <f>K24+K27+K31+K35-K36+K39+K42+K45+K46-K49+K51+K52+K53</f>
        <v>0</v>
      </c>
      <c r="L54" s="115">
        <f>L24+L27+L31+L35-L36+L39+L42+L45+L46-L49+L51+L52+L53</f>
        <v>0</v>
      </c>
      <c r="M54" s="115">
        <f>M24+M27+M31+M35-M36+M39+M42+M45+M46-M49+M51+M52+M53</f>
        <v>0</v>
      </c>
      <c r="N54" s="115">
        <f>N24+N27+N31+N35-N36+N39+N42+N45+N46-N49+N51+N52+N53</f>
        <v>0</v>
      </c>
      <c r="O54" s="114">
        <f>O24+O27+O31+O35-O36+O39+O42+O45+O46-O49+O51+O52+O53</f>
        <v>0</v>
      </c>
      <c r="P54" s="114">
        <f>P23+P26-P28+P30-P32+P34-P36+P38+P41-P43+P45+P46-P47-P49+P50+P51+P52+P53</f>
        <v>0</v>
      </c>
      <c r="Q54" s="115">
        <f>Q24+Q27+Q31+Q35-Q36+Q39+Q42+Q45+Q46-Q49+Q51+Q52+Q53</f>
        <v>0</v>
      </c>
      <c r="R54" s="115">
        <f>R24+R27+R31+R35-R36+R39+R42+R45+R46-R49+R51+R52+R53</f>
        <v>0</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220616196</v>
      </c>
      <c r="AT54" s="116">
        <f>AT23+AT26-AT28+AT30-AT32+AT34-AT36+AT38+AT41-AT43+AT45+AT46-AT47-AT49+AT50+AT51+AT52+AT53</f>
        <v>847262</v>
      </c>
      <c r="AU54" s="116">
        <f>AU23+AU26-AU28+AU30-AU32+AU34-AU36+AU38+AU41-AU43+AU45+AU46-AU47-AU49+AU50+AU51+AU52+AU53</f>
        <v>0</v>
      </c>
      <c r="AV54" s="311"/>
      <c r="AW54" s="318"/>
    </row>
    <row r="55" spans="2:49" ht="25.5" x14ac:dyDescent="0.2">
      <c r="B55" s="181" t="s">
        <v>304</v>
      </c>
      <c r="C55" s="137" t="s">
        <v>28</v>
      </c>
      <c r="D55" s="114">
        <f t="shared" ref="D55:AC55" si="0">MIN(MAX(0,D56),MAX(0,D57))</f>
        <v>0</v>
      </c>
      <c r="E55" s="115">
        <f t="shared" si="0"/>
        <v>0</v>
      </c>
      <c r="F55" s="115">
        <f t="shared" si="0"/>
        <v>0</v>
      </c>
      <c r="G55" s="115">
        <f t="shared" si="0"/>
        <v>0</v>
      </c>
      <c r="H55" s="115">
        <f t="shared" si="0"/>
        <v>0</v>
      </c>
      <c r="I55" s="114">
        <f t="shared" si="0"/>
        <v>0</v>
      </c>
      <c r="J55" s="114">
        <f t="shared" si="0"/>
        <v>0</v>
      </c>
      <c r="K55" s="115">
        <f t="shared" si="0"/>
        <v>0</v>
      </c>
      <c r="L55" s="115">
        <f t="shared" si="0"/>
        <v>0</v>
      </c>
      <c r="M55" s="115">
        <f t="shared" si="0"/>
        <v>0</v>
      </c>
      <c r="N55" s="115">
        <f t="shared" si="0"/>
        <v>0</v>
      </c>
      <c r="O55" s="114">
        <f t="shared" si="0"/>
        <v>0</v>
      </c>
      <c r="P55" s="114">
        <f t="shared" si="0"/>
        <v>0</v>
      </c>
      <c r="Q55" s="115">
        <f t="shared" si="0"/>
        <v>0</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c r="AO55" s="115"/>
      <c r="AP55" s="115"/>
      <c r="AQ55" s="115"/>
      <c r="AR55" s="115"/>
      <c r="AS55" s="114">
        <f>MIN(MAX(0,AS56),MAX(0,AS57))</f>
        <v>0</v>
      </c>
      <c r="AT55" s="116">
        <f>MIN(MAX(0,AT56),MAX(0,AT57))</f>
        <v>0</v>
      </c>
      <c r="AU55" s="116">
        <f>MIN(MAX(0,AU56),MAX(0,AU57))</f>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1592105</v>
      </c>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f>SUM('Pt 1 Summary of Data'!E$12,'Pt 1 Summary of Data'!E$22)+SUM('Pt 1 Summary of Data'!G$12,'Pt 1 Summary of Data'!G$22)-SUM('Pt 1 Summary of Data'!H$12,'Pt 1 Summary of Data'!H$22)</f>
        <v>0</v>
      </c>
      <c r="F6" s="115">
        <f t="shared" ref="F6:F11" si="0">SUM(C6:E6)</f>
        <v>0</v>
      </c>
      <c r="G6" s="116">
        <f>SUM('Pt 1 Summary of Data'!I$12,'Pt 1 Summary of Data'!I$22)</f>
        <v>0</v>
      </c>
      <c r="H6" s="109"/>
      <c r="I6" s="110"/>
      <c r="J6" s="115">
        <f>SUM('Pt 1 Summary of Data'!K$12,'Pt 1 Summary of Data'!K$22)+SUM('Pt 1 Summary of Data'!M$12,'Pt 1 Summary of Data'!M$22)-SUM('Pt 1 Summary of Data'!N$12,'Pt 1 Summary of Data'!N$22)</f>
        <v>0</v>
      </c>
      <c r="K6" s="115">
        <f>SUM(H6:J6)</f>
        <v>0</v>
      </c>
      <c r="L6" s="116">
        <f>SUM('Pt 1 Summary of Data'!O$12,'Pt 1 Summary of Data'!O$22)</f>
        <v>0</v>
      </c>
      <c r="M6" s="109"/>
      <c r="N6" s="110"/>
      <c r="O6" s="115">
        <f>SUM('Pt 1 Summary of Data'!Q$12,'Pt 1 Summary of Data'!Q$22)+SUM('Pt 1 Summary of Data'!S$12,'Pt 1 Summary of Data'!S$22)-SUM('Pt 1 Summary of Data'!T$12,'Pt 1 Summary of Data'!T$22)</f>
        <v>0</v>
      </c>
      <c r="P6" s="115">
        <f>SUM(M6:O6)</f>
        <v>0</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c r="AN6" s="253"/>
    </row>
    <row r="7" spans="1:40" x14ac:dyDescent="0.2">
      <c r="B7" s="191" t="s">
        <v>312</v>
      </c>
      <c r="C7" s="109"/>
      <c r="D7" s="110"/>
      <c r="E7" s="115">
        <f>SUM('Pt 1 Summary of Data'!E$37:E$41)+SUM('Pt 1 Summary of Data'!G$37:G$41)-SUM('Pt 1 Summary of Data'!H$37:H$41)+MAX(0,MIN('Pt 1 Summary of Data'!E$42+'Pt 1 Summary of Data'!G$42-'Pt 1 Summary of Data'!H$42,0.3%*('Pt 1 Summary of Data'!E$5+'Pt 1 Summary of Data'!G$5-'Pt 1 Summary of Data'!H$5-SUM(E$9:E$11))))</f>
        <v>0</v>
      </c>
      <c r="F7" s="115">
        <f t="shared" si="0"/>
        <v>0</v>
      </c>
      <c r="G7" s="116">
        <f>SUM('Pt 1 Summary of Data'!I$37:I$41)+MAX(0,MIN('Pt 1 Summary of Data'!I$42,0.3%*('Pt 1 Summary of Data'!I$5-SUM(G$9:G$10))))</f>
        <v>0</v>
      </c>
      <c r="H7" s="109"/>
      <c r="I7" s="110"/>
      <c r="J7" s="115">
        <f>SUM('Pt 1 Summary of Data'!K$37:K$41)+SUM('Pt 1 Summary of Data'!M$37:M$41)-SUM('Pt 1 Summary of Data'!N$37:N$41)+MAX(0,MIN('Pt 1 Summary of Data'!K$42+'Pt 1 Summary of Data'!M$42-'Pt 1 Summary of Data'!N$42,0.3%*('Pt 1 Summary of Data'!K$5+'Pt 1 Summary of Data'!M$5-'Pt 1 Summary of Data'!N$5-SUM(J$10:J$11))))</f>
        <v>0</v>
      </c>
      <c r="K7" s="115">
        <f>SUM(H7:J7)</f>
        <v>0</v>
      </c>
      <c r="L7" s="116">
        <f>SUM('Pt 1 Summary of Data'!O$37:O$41)+MAX(0,MIN('Pt 1 Summary of Data'!O$42,0.3%*('Pt 1 Summary of Data'!O$5-L$10)))</f>
        <v>0</v>
      </c>
      <c r="M7" s="109"/>
      <c r="N7" s="110"/>
      <c r="O7" s="115">
        <f>SUM('Pt 1 Summary of Data'!Q$37:Q$41)+SUM('Pt 1 Summary of Data'!S$37:S$41)-SUM('Pt 1 Summary of Data'!T$37:T$41)+MAX(0,MIN('Pt 1 Summary of Data'!Q$42+'Pt 1 Summary of Data'!S$42-'Pt 1 Summary of Data'!T$42,0.3%*('Pt 1 Summary of Data'!Q$5+'Pt 1 Summary of Data'!S$5-'Pt 1 Summary of Data'!T$5)))</f>
        <v>0</v>
      </c>
      <c r="P7" s="115">
        <f>SUM(M7:O7)</f>
        <v>0</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c r="F8" s="269">
        <f t="shared" si="0"/>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0</v>
      </c>
      <c r="F9" s="115">
        <f t="shared" si="0"/>
        <v>0</v>
      </c>
      <c r="G9" s="116">
        <f>'Pt 2 Premium and Claims'!I$15</f>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0</v>
      </c>
      <c r="F10" s="115">
        <f t="shared" si="0"/>
        <v>0</v>
      </c>
      <c r="G10" s="116">
        <f>'Pt 2 Premium and Claims'!I$16</f>
        <v>0</v>
      </c>
      <c r="H10" s="292"/>
      <c r="I10" s="288"/>
      <c r="J10" s="115">
        <f>'Pt 2 Premium and Claims'!K$16+'Pt 2 Premium and Claims'!M$16-'Pt 2 Premium and Claims'!N$16</f>
        <v>0</v>
      </c>
      <c r="K10" s="115">
        <f>SUM(H10:J10)</f>
        <v>0</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0</v>
      </c>
      <c r="F11" s="115">
        <f t="shared" si="0"/>
        <v>0</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0</v>
      </c>
      <c r="D12" s="115">
        <f>SUM(D$6:D$7)+IF(AND(OR('Company Information'!$C$12="District of Columbia",'Company Information'!$C$12="Massachusetts",'Company Information'!$C$12="Vermont"),SUM($C$6:$F$11,$C$15:$F$16,$C$37:$D$37)&lt;&gt;0),SUM(I$6:I$7),0)</f>
        <v>0</v>
      </c>
      <c r="E12" s="115">
        <f>SUM(E$6:E$7)-SUM(E$8:E$11)+IF(AND(OR('Company Information'!$C$12="District of Columbia",'Company Information'!$C$12="Massachusetts",'Company Information'!$C$12="Vermont"),SUM($C$6:$F$11,$C$15:$F$16,$C$37:$D$37)&lt;&gt;0),SUM(J$6:J$7)-SUM(J$10:J$11),0)</f>
        <v>0</v>
      </c>
      <c r="F12" s="115">
        <f>IFERROR(SUM(C$12:E$12)+C$17*MAX(0,E$49-C$49)+D$17*MAX(0,E$49-D$49),0)</f>
        <v>0</v>
      </c>
      <c r="G12" s="311"/>
      <c r="H12" s="114">
        <f>SUM(H$6:H$7)+IF(AND(OR('Company Information'!$C$12="District of Columbia",'Company Information'!$C$12="Massachusetts",'Company Information'!$C$12="Vermont"),SUM($H$6:$K$11,$H$15:$K$16,$H$37:$I$37)&lt;&gt;0),SUM(C$6:C$7),0)</f>
        <v>0</v>
      </c>
      <c r="I12" s="115">
        <f>SUM(I$6:I$7)+IF(AND(OR('Company Information'!$C$12="District of Columbia",'Company Information'!$C$12="Massachusetts",'Company Information'!$C$12="Vermont"),SUM($H$6:$K$11,$H$15:$K$16,$H$37:$I$37)&lt;&gt;0),SUM(D$6:D$7),0)</f>
        <v>0</v>
      </c>
      <c r="J12" s="115">
        <f>SUM(J$6:J$7)-SUM(J$10:J$11)+IF(AND(OR('Company Information'!$C$12="District of Columbia",'Company Information'!$C$12="Massachusetts",'Company Information'!$C$12="Vermont"),SUM($H$6:$K$11,$H$15:$K$16,$H$37:$I$37)&lt;&gt;0),SUM(E$6:E$7)-SUM(E$8:E$11),0)</f>
        <v>0</v>
      </c>
      <c r="K12" s="115">
        <f>IFERROR(SUM(H$12:J$12)+H$17*MAX(0,J$49-H$49)+I$17*MAX(0,J$49-I$49),0)</f>
        <v>0</v>
      </c>
      <c r="L12" s="311"/>
      <c r="M12" s="114">
        <f>SUM(M$6:M$7)</f>
        <v>0</v>
      </c>
      <c r="N12" s="115">
        <f>SUM(N$6:N$7)</f>
        <v>0</v>
      </c>
      <c r="O12" s="115">
        <f>SUM(O$6:O$7)</f>
        <v>0</v>
      </c>
      <c r="P12" s="115">
        <f>SUM(M$12:O$12)+M$17*MAX(0,O$49-M$49)+N$17*MAX(0,O$49-N$49)</f>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f>SUM('Pt 1 Summary of Data'!E$5:E$7)+SUM('Pt 1 Summary of Data'!G$5:G$7)-SUM('Pt 1 Summary of Data'!H$5:H$7)-SUM(E$9:E$11)+D$55</f>
        <v>0</v>
      </c>
      <c r="F15" s="106">
        <f>SUM(C15:E15)</f>
        <v>0</v>
      </c>
      <c r="G15" s="107">
        <f>SUM('Pt 1 Summary of Data'!I$5:I$7)-SUM(G$9:G$10)</f>
        <v>0</v>
      </c>
      <c r="H15" s="117"/>
      <c r="I15" s="118"/>
      <c r="J15" s="106">
        <f>SUM('Pt 1 Summary of Data'!K$5:K$7)+SUM('Pt 1 Summary of Data'!M$5:M$7)-SUM('Pt 1 Summary of Data'!N$5:N$7)-SUM(J$10:J$11)+I$55</f>
        <v>0</v>
      </c>
      <c r="K15" s="106">
        <f>SUM(H15:J15)</f>
        <v>0</v>
      </c>
      <c r="L15" s="107">
        <f>SUM('Pt 1 Summary of Data'!O$5:O$7)-L$10</f>
        <v>0</v>
      </c>
      <c r="M15" s="117"/>
      <c r="N15" s="118"/>
      <c r="O15" s="106">
        <f>SUM('Pt 1 Summary of Data'!Q$5:Q$7)+SUM('Pt 1 Summary of Data'!S$5:S$7)-SUM('Pt 1 Summary of Data'!T$5:T$7)+N$55</f>
        <v>0</v>
      </c>
      <c r="P15" s="106">
        <f>SUM(M15:O15)</f>
        <v>0</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
      <c r="B16" s="191" t="s">
        <v>313</v>
      </c>
      <c r="C16" s="109"/>
      <c r="D16" s="110"/>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15">
        <f>SUM(C16:E16)</f>
        <v>0</v>
      </c>
      <c r="G16" s="116">
        <f>SUM('Pt 1 Summary of Data'!I$25:I$28,'Pt 1 Summary of Data'!I$30,'Pt 1 Summary of Data'!I$34:I$35)+IF('Company Information'!$C$15="No",IF(MAX('Pt 1 Summary of Data'!I$31:I$32)=0,MIN('Pt 1 Summary of Data'!I$31:I$32),MAX('Pt 1 Summary of Data'!I$31:I$32)),SUM('Pt 1 Summary of Data'!I$31:I$32))</f>
        <v>0</v>
      </c>
      <c r="H16" s="109"/>
      <c r="I16" s="110"/>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5">
        <f>SUM(H16:J16)</f>
        <v>0</v>
      </c>
      <c r="L16" s="116">
        <f>SUM('Pt 1 Summary of Data'!O$25:O$28,'Pt 1 Summary of Data'!O$30,'Pt 1 Summary of Data'!O$34:O$35)+IF('Company Information'!$C$15="No",IF(MAX('Pt 1 Summary of Data'!O$31:O$32)=0,MIN('Pt 1 Summary of Data'!O$31:O$32),MAX('Pt 1 Summary of Data'!O$31:O$32)),SUM('Pt 1 Summary of Data'!O$31:O$32))</f>
        <v>0</v>
      </c>
      <c r="M16" s="109"/>
      <c r="N16" s="110"/>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0.12779587799999992</v>
      </c>
      <c r="P16" s="115">
        <f>SUM(M16:O16)</f>
        <v>0.12779587799999992</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c r="AN16" s="253"/>
    </row>
    <row r="17" spans="1:40" s="76" customFormat="1" x14ac:dyDescent="0.2">
      <c r="A17" s="143"/>
      <c r="B17" s="192" t="s">
        <v>320</v>
      </c>
      <c r="C17" s="114">
        <f>C$15-C$16+IF(AND(OR('Company Information'!$C$12="District of Columbia",'Company Information'!$C$12="Massachusetts",'Company Information'!$C$12="Vermont"),SUM($C$6:$F$11,$C$15:$F$16,$C$37:$D$37)&lt;&gt;0),H$15-H$16,0)</f>
        <v>0</v>
      </c>
      <c r="D17" s="115">
        <f>D$15-D$16+IF(AND(OR('Company Information'!$C$12="District of Columbia",'Company Information'!$C$12="Massachusetts",'Company Information'!$C$12="Vermont"),SUM($C$6:$F$11,$C$15:$F$16,$C$37:$D$37)&lt;&gt;0),I$15-I$16,0)</f>
        <v>0</v>
      </c>
      <c r="E17" s="115">
        <f>E$15-E$16+IF(AND(OR('Company Information'!$C$12="District of Columbia",'Company Information'!$C$12="Massachusetts",'Company Information'!$C$12="Vermont"),SUM($C$6:$F$11,$C$15:$F$16,$C$37:$D$37)&lt;&gt;0),J$15-J$16,0)</f>
        <v>0</v>
      </c>
      <c r="F17" s="115">
        <f>F$15-F$16+IF(AND(OR('Company Information'!$C$12="District of Columbia",'Company Information'!$C$12="Massachusetts",'Company Information'!$C$12="Vermont"),SUM($C$6:$F$11,$C$15:$F$16,$C$37:$D$37)&lt;&gt;0),K$15-K$16,0)</f>
        <v>0</v>
      </c>
      <c r="G17" s="314"/>
      <c r="H17" s="114">
        <f>H$15-H$16+IF(AND(OR('Company Information'!$C$12="District of Columbia",'Company Information'!$C$12="Massachusetts",'Company Information'!$C$12="Vermont"),SUM($H$6:$K$11,$H$15:$K$16,$H$37:$I$37)&lt;&gt;0),C$15-C$16,0)</f>
        <v>0</v>
      </c>
      <c r="I17" s="115">
        <f>I$15-I$16+IF(AND(OR('Company Information'!$C$12="District of Columbia",'Company Information'!$C$12="Massachusetts",'Company Information'!$C$12="Vermont"),SUM($H$6:$K$11,$H$15:$K$16,$H$37:$I$37)&lt;&gt;0),D$15-D$16,0)</f>
        <v>0</v>
      </c>
      <c r="J17" s="115">
        <f>J$15-J$16+IF(AND(OR('Company Information'!$C$12="District of Columbia",'Company Information'!$C$12="Massachusetts",'Company Information'!$C$12="Vermont"),SUM($H$6:$K$11,$H$15:$K$16,$H$37:$I$37)&lt;&gt;0),E$15-E$16,0)</f>
        <v>0</v>
      </c>
      <c r="K17" s="115">
        <f>K$15-K$16+IF(AND(OR('Company Information'!$C$12="District of Columbia",'Company Information'!$C$12="Massachusetts",'Company Information'!$C$12="Vermont"),SUM($H$6:$K$11,$H$15:$K$16,$H$37:$I$37)&lt;&gt;0),F$15-F$16,0)</f>
        <v>0</v>
      </c>
      <c r="L17" s="314"/>
      <c r="M17" s="114">
        <f>M$15-M$16</f>
        <v>0</v>
      </c>
      <c r="N17" s="115">
        <f>N$15-N$16</f>
        <v>0</v>
      </c>
      <c r="O17" s="115">
        <f>O$15-O$16</f>
        <v>-0.12779587799999992</v>
      </c>
      <c r="P17" s="115">
        <f>P$15-P$16</f>
        <v>-0.12779587799999992</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0</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0</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0</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0</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0</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0</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0</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0</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0</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0</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0</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56">
        <f>SUM(C$37:E$37)+IF(AND(OR('Company Information'!$C$12="District of Columbia",'Company Information'!$C$12="Massachusetts",'Company Information'!$C$12="Vermont"),SUM($C$6:$F$11,$C$15:$F$16,$C$37:$D$37)&lt;&gt;0,SUM(C$37:D$37)&lt;&gt;SUM(H$37:I$37)),SUM(H$37:I$37),0)</f>
        <v>0</v>
      </c>
      <c r="G37" s="312"/>
      <c r="H37" s="121"/>
      <c r="I37" s="122"/>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6">
        <f>SUM(H$37:J$37)+IF(AND(OR('Company Information'!$C$12="District of Columbia",'Company Information'!$C$12="Massachusetts",'Company Information'!$C$12="Vermont"),SUM($H$6:$K$11,$H$15:$K$16,$H$37:$I$37)&lt;&gt;0,SUM(H$37:I$37)&lt;&gt;SUM(C$37:D$37)),SUM(C$37:D$37),0)</f>
        <v>0</v>
      </c>
      <c r="L37" s="312"/>
      <c r="M37" s="121"/>
      <c r="N37" s="122"/>
      <c r="O37" s="256">
        <f>('Pt 1 Summary of Data'!Q$59+'Pt 1 Summary of Data'!S$59-'Pt 1 Summary of Data'!T$59)/12</f>
        <v>0</v>
      </c>
      <c r="P37" s="256">
        <f>SUM(M$37:O$37)</f>
        <v>0</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IF(OR(F$37&lt;1000,F$37&gt;=75000),0,F$38*F$40)</f>
        <v>0</v>
      </c>
      <c r="G41" s="311"/>
      <c r="H41" s="292"/>
      <c r="I41" s="288"/>
      <c r="J41" s="288"/>
      <c r="K41" s="260">
        <f>IF(OR(K$37&lt;1000,K$37&gt;=75000),0,K$38*K$40)</f>
        <v>0</v>
      </c>
      <c r="L41" s="311"/>
      <c r="M41" s="292"/>
      <c r="N41" s="288"/>
      <c r="O41" s="288"/>
      <c r="P41" s="260">
        <f>IF(OR(P$37&lt;1000,P$37&gt;=75000),0,P$38*P$40)</f>
        <v>0</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tr">
        <f>IF(OR(C$37&lt;1000,C$17&lt;=0),"",C$12/C$17)</f>
        <v/>
      </c>
      <c r="D44" s="260" t="str">
        <f>IF(OR(D$37&lt;1000,D$17&lt;=0),"",D$12/D$17)</f>
        <v/>
      </c>
      <c r="E44" s="260" t="str">
        <f>IF(OR(E$37&lt;1000,E$17&lt;=0),"",E$12/E$17)</f>
        <v/>
      </c>
      <c r="F44" s="260" t="str">
        <f>IF(OR(F$37&lt;1000,F$17&lt;=0),"",F$12/F$17)</f>
        <v/>
      </c>
      <c r="G44" s="311"/>
      <c r="H44" s="262" t="str">
        <f>IF(OR(H$37&lt;1000,H$17&lt;=0),"",H$12/H$17)</f>
        <v/>
      </c>
      <c r="I44" s="260" t="str">
        <f>IF(OR(I$37&lt;1000,I$17&lt;=0),"",I$12/I$17)</f>
        <v/>
      </c>
      <c r="J44" s="260" t="str">
        <f>IF(OR(J$37&lt;1000,J$17&lt;=0),"",J$12/J$17)</f>
        <v/>
      </c>
      <c r="K44" s="260" t="str">
        <f>IF(OR(K$37&lt;1000,K$17&lt;=0),"",K$12/K$17)</f>
        <v/>
      </c>
      <c r="L44" s="311"/>
      <c r="M44" s="262" t="str">
        <f>IF(OR(M$37&lt;1000,M$17&lt;=0),"",M$12/M$17)</f>
        <v/>
      </c>
      <c r="N44" s="260" t="str">
        <f>IF(OR(N$37&lt;1000,N$17&lt;=0),"",N$12/N$17)</f>
        <v/>
      </c>
      <c r="O44" s="260" t="str">
        <f>IF(OR(O$37&lt;1000,O$17&lt;=0),"",O$12/O$17)</f>
        <v/>
      </c>
      <c r="P44" s="260" t="str">
        <f>IF(OR(P$37&lt;1000,P$17&lt;=0),"",P$12/P$17)</f>
        <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c r="AM45" s="260"/>
      <c r="AN45" s="261"/>
    </row>
    <row r="46" spans="1:40" x14ac:dyDescent="0.2">
      <c r="B46" s="197" t="s">
        <v>330</v>
      </c>
      <c r="C46" s="292"/>
      <c r="D46" s="288"/>
      <c r="E46" s="288"/>
      <c r="F46" s="260" t="str">
        <f>IF(F$44="","",F$41)</f>
        <v/>
      </c>
      <c r="G46" s="311"/>
      <c r="H46" s="292"/>
      <c r="I46" s="288"/>
      <c r="J46" s="288"/>
      <c r="K46" s="260" t="str">
        <f>IF(K$44="","",K$41)</f>
        <v/>
      </c>
      <c r="L46" s="311"/>
      <c r="M46" s="292"/>
      <c r="N46" s="288"/>
      <c r="O46" s="288"/>
      <c r="P46" s="260" t="str">
        <f>IF(P$44="","",P$41)</f>
        <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tr">
        <f>IF(F$44="","",ROUND(F$44+MAX(0,F$46),3))</f>
        <v/>
      </c>
      <c r="G47" s="311"/>
      <c r="H47" s="292"/>
      <c r="I47" s="288"/>
      <c r="J47" s="288"/>
      <c r="K47" s="260" t="str">
        <f>IF(K$44="","",ROUND(K$44+MAX(0,K$46),3))</f>
        <v/>
      </c>
      <c r="L47" s="311"/>
      <c r="M47" s="292"/>
      <c r="N47" s="288"/>
      <c r="O47" s="288"/>
      <c r="P47" s="260" t="str">
        <f>IF(P$44="","",ROUND(P$44+MAX(0,P$46),3))</f>
        <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f>IF('Company Information'!$C$12="","Please select a State",VLOOKUP('Company Information'!$C$12,'Reference Tables'!$D$3:$J$60,2,FALSE))</f>
        <v>0</v>
      </c>
      <c r="R49" s="141">
        <f>IF('Company Information'!$C$12="","Please select a State",VLOOKUP('Company Information'!$C$12,'Reference Tables'!$D$3:$J$60,4,FALSE))</f>
        <v>0</v>
      </c>
      <c r="S49" s="141">
        <f>IF('Company Information'!$C$12="","Please select a State",VLOOKUP('Company Information'!$C$12,'Reference Tables'!$D$3:$J$60,6,FALSE))</f>
        <v>0</v>
      </c>
      <c r="T49" s="141">
        <f>S$49</f>
        <v>0</v>
      </c>
      <c r="U49" s="140">
        <f>IF('Company Information'!$C$12="","Please select a State",VLOOKUP('Company Information'!$C$12,'Reference Tables'!$D$3:$J$60,3,FALSE))</f>
        <v>2013</v>
      </c>
      <c r="V49" s="141">
        <f>IF('Company Information'!$C$12="","Please select a State",VLOOKUP('Company Information'!$C$12,'Reference Tables'!$D$3:$J$60,5,FALSE))</f>
        <v>0</v>
      </c>
      <c r="W49" s="141">
        <f>IF('Company Information'!$C$12="","Please select a State",VLOOKUP('Company Information'!$C$12,'Reference Tables'!$D$3:$J$60,7,FALSE))</f>
        <v>0</v>
      </c>
      <c r="X49" s="141">
        <f>W$49</f>
        <v>0</v>
      </c>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tr">
        <f>F$47</f>
        <v/>
      </c>
      <c r="G50" s="311"/>
      <c r="H50" s="293"/>
      <c r="I50" s="289"/>
      <c r="J50" s="289"/>
      <c r="K50" s="260" t="str">
        <f>K$47</f>
        <v/>
      </c>
      <c r="L50" s="311"/>
      <c r="M50" s="293"/>
      <c r="N50" s="289"/>
      <c r="O50" s="289"/>
      <c r="P50" s="260" t="str">
        <f>P$47</f>
        <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row>
    <row r="51" spans="1:40" x14ac:dyDescent="0.2">
      <c r="B51" s="195" t="s">
        <v>334</v>
      </c>
      <c r="C51" s="292"/>
      <c r="D51" s="288"/>
      <c r="E51" s="288"/>
      <c r="F51" s="115" t="str">
        <f>IF(F$37&lt;1000,"",MAX(0,E$15-E$16))</f>
        <v/>
      </c>
      <c r="G51" s="311"/>
      <c r="H51" s="292"/>
      <c r="I51" s="288"/>
      <c r="J51" s="288"/>
      <c r="K51" s="115" t="str">
        <f>IF(K$37&lt;1000,"",MAX(0,J$15-J$16))</f>
        <v/>
      </c>
      <c r="L51" s="311"/>
      <c r="M51" s="292"/>
      <c r="N51" s="288"/>
      <c r="O51" s="288"/>
      <c r="P51" s="115" t="str">
        <f>IF(P$37&lt;1000,"",MAX(0,O$15-O$16))</f>
        <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IF(OR(F$37&lt;1000,F$17&lt;=0),0,MAX(0,F$49-F$50)*F$51)</f>
        <v>0</v>
      </c>
      <c r="G52" s="311"/>
      <c r="H52" s="292"/>
      <c r="I52" s="288"/>
      <c r="J52" s="288"/>
      <c r="K52" s="115">
        <f>IF(OR(K$37&lt;1000,K$17&lt;=0),0,MAX(0,K$49-K$50)*K$51)</f>
        <v>0</v>
      </c>
      <c r="L52" s="311"/>
      <c r="M52" s="292"/>
      <c r="N52" s="288"/>
      <c r="O52" s="288"/>
      <c r="P52" s="115">
        <f>IF(OR(P$37&lt;1000,P$17&lt;=0),0,MAX(0,P$49-P$50)*P$51)</f>
        <v>0</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0</v>
      </c>
      <c r="D4" s="149">
        <f>'Pt 1 Summary of Data'!$K$56+'Pt 1 Summary of Data'!$M$56-'Pt 1 Summary of Data'!$N$56</f>
        <v>0</v>
      </c>
      <c r="E4" s="149">
        <f>'Pt 1 Summary of Data'!$Q$56+'Pt 1 Summary of Data'!$S$56-'Pt 1 Summary of Data'!$T$56</f>
        <v>0</v>
      </c>
      <c r="F4" s="149">
        <f>'Pt 1 Summary of Data'!$V$56</f>
        <v>0</v>
      </c>
      <c r="G4" s="149">
        <f>'Pt 1 Summary of Data'!$Y$56</f>
        <v>0</v>
      </c>
      <c r="H4" s="149">
        <f>'Pt 1 Summary of Data'!$AB$56</f>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'Pt 3 MLR and Rebate Calculation'!$F$52</f>
        <v>0</v>
      </c>
      <c r="D11" s="119">
        <f>'Pt 3 MLR and Rebate Calculation'!$K$52</f>
        <v>0</v>
      </c>
      <c r="E11" s="119">
        <f>'Pt 3 MLR and Rebate Calculation'!$P$52</f>
        <v>0</v>
      </c>
      <c r="F11" s="119">
        <f>'Pt 3 MLR and Rebate Calculation'!$T$52</f>
        <v>0</v>
      </c>
      <c r="G11" s="119">
        <f>'Pt 3 MLR and Rebate Calculation'!$X$52</f>
        <v>0</v>
      </c>
      <c r="H11" s="119">
        <f>'Pt 3 MLR and Rebate Calculation'!$AB$52</f>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2015-07-23T00:43:56Z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