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F11" i="16"/>
  <c r="H4" i="16"/>
  <c r="G4" i="16"/>
  <c r="F4" i="16"/>
  <c r="E4" i="16"/>
  <c r="D4" i="16"/>
  <c r="C4" i="16"/>
  <c r="AB52" i="10"/>
  <c r="X52" i="10"/>
  <c r="G11" i="16" s="1"/>
  <c r="T52" i="10"/>
  <c r="AB51" i="10"/>
  <c r="X51" i="10"/>
  <c r="T51" i="10"/>
  <c r="P51" i="10"/>
  <c r="AB50" i="10"/>
  <c r="AB47" i="10"/>
  <c r="AB46" i="10"/>
  <c r="AB45" i="10"/>
  <c r="AA45" i="10"/>
  <c r="Z45" i="10"/>
  <c r="Y45" i="10"/>
  <c r="X45" i="10"/>
  <c r="X46" i="10" s="1"/>
  <c r="W45" i="10"/>
  <c r="V45" i="10"/>
  <c r="U45" i="10"/>
  <c r="T45" i="10"/>
  <c r="T47" i="10" s="1"/>
  <c r="T50" i="10" s="1"/>
  <c r="S45" i="10"/>
  <c r="R45" i="10"/>
  <c r="Q45" i="10"/>
  <c r="P44" i="10"/>
  <c r="O44" i="10"/>
  <c r="N44" i="10"/>
  <c r="M44" i="10"/>
  <c r="AB41" i="10"/>
  <c r="X41" i="10"/>
  <c r="T41" i="10"/>
  <c r="AB40" i="10"/>
  <c r="X40" i="10"/>
  <c r="T40" i="10"/>
  <c r="P40" i="10"/>
  <c r="K40" i="10"/>
  <c r="F40" i="10"/>
  <c r="AB38" i="10"/>
  <c r="X38" i="10"/>
  <c r="T38" i="10"/>
  <c r="P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T13" i="10" s="1"/>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Q13" i="10" s="1"/>
  <c r="P15" i="10"/>
  <c r="O15" i="10"/>
  <c r="L15" i="10"/>
  <c r="G15" i="10"/>
  <c r="G25" i="10" s="1"/>
  <c r="AB13" i="10"/>
  <c r="AA13" i="10"/>
  <c r="Z13" i="10"/>
  <c r="Y13" i="10"/>
  <c r="W13" i="10"/>
  <c r="S13" i="10"/>
  <c r="R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19" i="10" s="1"/>
  <c r="AB6" i="10"/>
  <c r="AA6" i="10"/>
  <c r="X6" i="10"/>
  <c r="W6" i="10"/>
  <c r="T6" i="10"/>
  <c r="S6" i="10"/>
  <c r="P6" i="10"/>
  <c r="O6" i="10"/>
  <c r="L6" i="10"/>
  <c r="K6" i="10"/>
  <c r="J6" i="10"/>
  <c r="G6" i="10"/>
  <c r="F6" i="10"/>
  <c r="E6" i="10"/>
  <c r="AU55" i="18"/>
  <c r="AT55" i="18"/>
  <c r="AT22" i="4" s="1"/>
  <c r="AS55" i="18"/>
  <c r="AS22" i="4" s="1"/>
  <c r="AC55" i="18"/>
  <c r="AC22" i="4" s="1"/>
  <c r="AB55" i="18"/>
  <c r="AB22" i="4" s="1"/>
  <c r="AA55" i="18"/>
  <c r="Z55" i="18"/>
  <c r="Z22" i="4" s="1"/>
  <c r="Y55" i="18"/>
  <c r="X55" i="18"/>
  <c r="X22" i="4" s="1"/>
  <c r="W55" i="18"/>
  <c r="W22" i="4" s="1"/>
  <c r="V55" i="18"/>
  <c r="V22" i="4" s="1"/>
  <c r="U55" i="18"/>
  <c r="U22" i="4" s="1"/>
  <c r="T55" i="18"/>
  <c r="S55" i="18"/>
  <c r="S22" i="4" s="1"/>
  <c r="R55" i="18"/>
  <c r="R22" i="4" s="1"/>
  <c r="Q55" i="18"/>
  <c r="Q22" i="4" s="1"/>
  <c r="P55" i="18"/>
  <c r="P22" i="4" s="1"/>
  <c r="O55" i="18"/>
  <c r="O22" i="4" s="1"/>
  <c r="N55" i="18"/>
  <c r="N22" i="4" s="1"/>
  <c r="M55" i="18"/>
  <c r="M22" i="4" s="1"/>
  <c r="L55" i="18"/>
  <c r="L22" i="4" s="1"/>
  <c r="K55" i="18"/>
  <c r="K22" i="4" s="1"/>
  <c r="J55" i="18"/>
  <c r="J22" i="4" s="1"/>
  <c r="I55" i="18"/>
  <c r="I22" i="4" s="1"/>
  <c r="H55" i="18"/>
  <c r="G55" i="18"/>
  <c r="F55" i="18"/>
  <c r="F22" i="4" s="1"/>
  <c r="E55" i="18"/>
  <c r="E22" i="4" s="1"/>
  <c r="D55" i="18"/>
  <c r="D22" i="4" s="1"/>
  <c r="AU54" i="18"/>
  <c r="AU12" i="4" s="1"/>
  <c r="AT54" i="18"/>
  <c r="AS54" i="18"/>
  <c r="AS12" i="4" s="1"/>
  <c r="AC54" i="18"/>
  <c r="AB54" i="18"/>
  <c r="AA54" i="18"/>
  <c r="Z54" i="18"/>
  <c r="Y54" i="18"/>
  <c r="Y12" i="4" s="1"/>
  <c r="X54" i="18"/>
  <c r="X12" i="4" s="1"/>
  <c r="W54" i="18"/>
  <c r="W12" i="4" s="1"/>
  <c r="V54" i="18"/>
  <c r="U54" i="18"/>
  <c r="U12" i="4" s="1"/>
  <c r="T54" i="18"/>
  <c r="T12" i="4" s="1"/>
  <c r="S54" i="18"/>
  <c r="R54" i="18"/>
  <c r="R12" i="4" s="1"/>
  <c r="Q54" i="18"/>
  <c r="Q12" i="4" s="1"/>
  <c r="P54" i="18"/>
  <c r="P12" i="4" s="1"/>
  <c r="O54" i="18"/>
  <c r="N54" i="18"/>
  <c r="N12" i="4" s="1"/>
  <c r="M54" i="18"/>
  <c r="M12" i="4" s="1"/>
  <c r="L54" i="18"/>
  <c r="L12" i="4" s="1"/>
  <c r="K54" i="18"/>
  <c r="K12" i="4" s="1"/>
  <c r="J54" i="18"/>
  <c r="I54" i="18"/>
  <c r="I12" i="4" s="1"/>
  <c r="H54" i="18"/>
  <c r="H12" i="4" s="1"/>
  <c r="G54" i="18"/>
  <c r="G12" i="4" s="1"/>
  <c r="F54" i="18"/>
  <c r="F12" i="4" s="1"/>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A22" i="4"/>
  <c r="Y22" i="4"/>
  <c r="T22" i="4"/>
  <c r="H22" i="4"/>
  <c r="G22" i="4"/>
  <c r="AT12" i="4"/>
  <c r="AC12" i="4"/>
  <c r="AB12" i="4"/>
  <c r="AA12" i="4"/>
  <c r="Z12" i="4"/>
  <c r="V12" i="4"/>
  <c r="S12" i="4"/>
  <c r="O12" i="4"/>
  <c r="J12" i="4"/>
  <c r="E12" i="4"/>
  <c r="AU5" i="4"/>
  <c r="AT5" i="4"/>
  <c r="AS5" i="4"/>
  <c r="AC5" i="4"/>
  <c r="AB5" i="4"/>
  <c r="AA5" i="4"/>
  <c r="Z5" i="4"/>
  <c r="Y5" i="4"/>
  <c r="X5" i="4"/>
  <c r="W5" i="4"/>
  <c r="V5" i="4"/>
  <c r="U5" i="4"/>
  <c r="T5" i="4"/>
  <c r="S5" i="4"/>
  <c r="R5" i="4"/>
  <c r="Q5" i="4"/>
  <c r="P5" i="4"/>
  <c r="O5" i="4"/>
  <c r="N5" i="4"/>
  <c r="M5" i="4"/>
  <c r="L5" i="4"/>
  <c r="K5" i="4"/>
  <c r="J15" i="10" s="1"/>
  <c r="J5" i="4"/>
  <c r="I5" i="4"/>
  <c r="H5" i="4"/>
  <c r="G5" i="4"/>
  <c r="F5" i="4"/>
  <c r="E5" i="4"/>
  <c r="E15" i="10" s="1"/>
  <c r="D5" i="4"/>
  <c r="F15" i="10" l="1"/>
  <c r="K15" i="10"/>
  <c r="K17" i="10" s="1"/>
  <c r="J37" i="10"/>
  <c r="E7" i="10"/>
  <c r="J12" i="10"/>
  <c r="G21" i="10"/>
  <c r="L23" i="10"/>
  <c r="L27" i="10" s="1"/>
  <c r="L31" i="10" s="1"/>
  <c r="L32" i="10" s="1"/>
  <c r="L33" i="10" s="1"/>
  <c r="G28" i="10"/>
  <c r="G20" i="10"/>
  <c r="L26" i="10"/>
  <c r="L30" i="10" s="1"/>
  <c r="G29" i="10"/>
  <c r="X47" i="10"/>
  <c r="X50" i="10" s="1"/>
  <c r="T46" i="10"/>
  <c r="P41" i="10"/>
  <c r="P46" i="10" s="1"/>
  <c r="P47" i="10" s="1"/>
  <c r="P50" i="10" s="1"/>
  <c r="P52" i="10" s="1"/>
  <c r="E11" i="16" s="1"/>
  <c r="U13" i="10"/>
  <c r="X13" i="10"/>
  <c r="K37" i="10" l="1"/>
  <c r="H17" i="10"/>
  <c r="I12" i="10"/>
  <c r="H12" i="10"/>
  <c r="F17" i="10"/>
  <c r="I17" i="10"/>
  <c r="F7" i="10"/>
  <c r="E17" i="10" s="1"/>
  <c r="D17" i="10"/>
  <c r="E37" i="10"/>
  <c r="C17" i="10"/>
  <c r="E12" i="10"/>
  <c r="J17" i="10"/>
  <c r="J44" i="10" s="1"/>
  <c r="C12" i="10"/>
  <c r="G24" i="10"/>
  <c r="G23" i="10" s="1"/>
  <c r="G27" i="10" s="1"/>
  <c r="F37" i="10" l="1"/>
  <c r="E44" i="10"/>
  <c r="H44" i="10"/>
  <c r="K38" i="10" s="1"/>
  <c r="K41" i="10" s="1"/>
  <c r="K46" i="10" s="1"/>
  <c r="K47" i="10" s="1"/>
  <c r="K50" i="10" s="1"/>
  <c r="K52" i="10" s="1"/>
  <c r="D11" i="16" s="1"/>
  <c r="K12" i="10"/>
  <c r="K44" i="10"/>
  <c r="K51" i="10"/>
  <c r="C44" i="10"/>
  <c r="I44" i="10"/>
  <c r="D12" i="10"/>
  <c r="D44" i="10" s="1"/>
  <c r="G26" i="10"/>
  <c r="G30" i="10" s="1"/>
  <c r="G31" i="10"/>
  <c r="G32" i="10" s="1"/>
  <c r="G33" i="10" s="1"/>
  <c r="F12" i="10" l="1"/>
  <c r="F51" i="10"/>
  <c r="F44" i="10"/>
  <c r="F38" i="10"/>
  <c r="F41" i="10" s="1"/>
  <c r="F46" i="10" s="1"/>
  <c r="F47" i="10" s="1"/>
  <c r="F50" i="10" s="1"/>
  <c r="F52" i="10" s="1"/>
  <c r="C11" i="16"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<sst xmlns="http://schemas.openxmlformats.org/spreadsheetml/2006/main" count="570" uniqueCount="508">
  <si>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</si>
  <si>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</si>
  <si>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</si>
  <si>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</si>
  <si>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</si>
  <si>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</si>
  <si>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</si>
  <si>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</si>
  <si>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</si>
  <si>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</si>
  <si>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</si>
  <si>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</si>
  <si>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</si>
  <si>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</si>
  <si>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</si>
  <si>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</si>
  <si>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</si>
  <si>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</si>
  <si>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</si>
  <si>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</si>
  <si>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</si>
  <si>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</si>
  <si>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</si>
  <si>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</si>
  <si>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</si>
  <si>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</si>
  <si>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</si>
  <si>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</si>
  <si>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</si>
  <si>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</si>
  <si>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</si>
  <si>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</si>
  <si>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</si>
  <si>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</si>
  <si>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</si>
  <si>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</si>
  <si>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</si>
  <si>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</si>
  <si>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</si>
  <si>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</si>
  <si>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</si>
  <si>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</si>
  <si>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</si>
  <si>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</si>
  <si>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</si>
  <si>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</si>
  <si>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</si>
  <si>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</si>
  <si>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</si>
  <si>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</si>
  <si>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</si>
  <si>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</si>
  <si>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</si>
  <si>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</si>
  <si>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</si>
  <si>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</si>
  <si>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</si>
  <si>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</si>
  <si>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</si>
  <si>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</si>
  <si>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</si>
  <si>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</si>
  <si>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</si>
  <si>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</si>
  <si>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</si>
  <si>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</si>
  <si>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</si>
  <si>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</si>
  <si>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</si>
  <si>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</si>
  <si>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</si>
  <si>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</si>
  <si>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</si>
  <si>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</si>
  <si>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</si>
  <si>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</si>
  <si>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</si>
  <si>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</si>
  <si>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</si>
  <si>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</si>
  <si>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</si>
  <si>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</si>
  <si>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</si>
  <si>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</si>
  <si>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</si>
  <si>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</si>
  <si>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</si>
  <si>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</si>
  <si>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</si>
  <si>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</si>
  <si>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</si>
  <si>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</si>
  <si>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</si>
  <si>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</si>
  <si>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</si>
  <si>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</si>
  <si>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</si>
  <si>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</si>
  <si>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</si>
  <si>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</si>
  <si>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</si>
  <si>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</si>
  <si>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</si>
  <si>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</si>
  <si>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</si>
  <si>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</si>
  <si>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</si>
  <si>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</si>
  <si>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</si>
  <si>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</si>
  <si>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</si>
  <si>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</si>
  <si>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</si>
  <si>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</si>
  <si>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</si>
  <si>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</si>
  <si>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</si>
  <si>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</si>
  <si>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</si>
  <si>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</si>
  <si>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</si>
  <si>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</si>
  <si>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</si>
  <si>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</si>
  <si>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</si>
  <si>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</si>
  <si>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</si>
  <si>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</si>
  <si>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</si>
  <si>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</si>
  <si>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</si>
  <si>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</si>
  <si>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</si>
  <si>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</si>
  <si>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</si>
  <si>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</si>
  <si>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</si>
  <si>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</si>
  <si>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</si>
  <si>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</si>
  <si>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</si>
  <si>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</si>
  <si>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</si>
  <si>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</si>
  <si>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</si>
  <si>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</si>
  <si>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</si>
  <si>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</si>
  <si>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</si>
  <si>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</si>
  <si>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</si>
  <si>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</si>
  <si>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</si>
  <si>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</si>
  <si>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</si>
  <si>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</si>
  <si>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</si>
  <si>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</si>
  <si>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</si>
  <si>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</si>
  <si>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</si>
  <si>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</si>
  <si>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</si>
  <si>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</si>
  <si>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</si>
  <si>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</si>
  <si>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</si>
  <si>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</si>
  <si>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</si>
  <si>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</si>
  <si>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</si>
  <si>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</si>
  <si>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</si>
  <si>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</si>
  <si>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</si>
  <si>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</si>
  <si>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</si>
  <si>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</si>
  <si>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</si>
  <si>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</si>
  <si>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</si>
  <si>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</si>
  <si>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</si>
  <si>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</si>
  <si>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</si>
  <si>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</si>
  <si>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</si>
  <si>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</si>
  <si>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</si>
  <si>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</si>
  <si>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</si>
  <si>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</si>
  <si>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</si>
  <si>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</si>
  <si>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</si>
  <si>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</si>
  <si>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</si>
  <si>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</si>
  <si>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</si>
  <si>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</si>
  <si>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</si>
  <si>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</si>
  <si>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</si>
  <si>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</si>
  <si>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</si>
  <si>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</si>
  <si>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</si>
  <si>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</si>
  <si>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</si>
  <si>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</si>
  <si>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</si>
  <si>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</si>
  <si>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</si>
  <si>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</si>
  <si>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</si>
  <si>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</si>
  <si>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</si>
  <si>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</si>
  <si>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</si>
  <si>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</si>
  <si>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</si>
  <si>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</si>
  <si>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</si>
  <si>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</si>
  <si>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</si>
  <si>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</si>
  <si>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</si>
  <si>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</si>
  <si>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</si>
  <si>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</si>
  <si>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</si>
  <si>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</si>
  <si>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</si>
  <si>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</si>
  <si>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</si>
  <si>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</si>
  <si>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</si>
  <si>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</si>
  <si>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</si>
  <si>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</si>
  <si>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</si>
  <si>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</si>
  <si>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</si>
  <si>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</si>
  <si>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</si>
  <si>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</si>
  <si>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</si>
  <si>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</si>
  <si>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</si>
  <si>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</si>
  <si>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</si>
  <si>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</si>
  <si>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</si>
  <si>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</si>
  <si>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</si>
  <si>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</si>
  <si>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</si>
  <si>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</si>
  <si>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</si>
  <si>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</si>
  <si>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</si>
  <si>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</si>
  <si>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</si>
  <si>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</si>
  <si>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</si>
  <si>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</si>
  <si>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</si>
  <si>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</si>
  <si>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</si>
  <si>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</si>
  <si>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</si>
  <si>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</si>
  <si>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</si>
  <si>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</si>
  <si>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</si>
  <si>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</si>
  <si>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</si>
  <si>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</si>
  <si>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</si>
  <si>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</si>
  <si>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</si>
  <si>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</si>
  <si>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</si>
  <si>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</si>
  <si>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</si>
  <si>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</si>
  <si>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</si>
  <si>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</si>
  <si>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</si>
  <si>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</si>
  <si>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</si>
  <si>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</si>
  <si>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</si>
  <si>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</si>
  <si>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</si>
  <si>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</si>
  <si>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</si>
  <si>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</si>
  <si>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</si>
  <si>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</si>
  <si>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</si>
  <si>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</si>
  <si>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</si>
  <si>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</si>
  <si>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</si>
  <si>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</si>
  <si>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</si>
  <si>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</si>
  <si>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</si>
  <si>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</si>
  <si>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</si>
  <si>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</si>
  <si>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</si>
  <si>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</si>
  <si>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</si>
  <si>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</si>
  <si>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</si>
  <si>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</si>
  <si>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</si>
  <si>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</si>
  <si>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</si>
  <si>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</si>
  <si>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</si>
  <si>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</si>
  <si>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</si>
  <si>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</si>
  <si>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</si>
  <si>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</si>
  <si>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</si>
  <si>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</si>
  <si>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</si>
  <si>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</si>
  <si>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</si>
  <si>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</si>
  <si>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</si>
  <si>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</si>
  <si>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</si>
  <si>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</si>
  <si>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</si>
  <si>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</si>
  <si>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</si>
  <si>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</si>
  <si>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</si>
  <si>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</si>
  <si>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</si>
  <si>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</si>
  <si>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</si>
  <si>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</si>
  <si>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</si>
  <si>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</si>
  <si>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</si>
  <si>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</si>
  <si>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</si>
  <si>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</si>
  <si>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</si>
  <si>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</si>
  <si>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</si>
  <si>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</si>
  <si>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</si>
  <si>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</si>
  <si>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</si>
  <si>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</si>
  <si>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</si>
  <si>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</si>
  <si>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</si>
  <si>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</si>
  <si>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</si>
  <si>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</si>
  <si>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</si>
  <si>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</si>
  <si>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</si>
  <si>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</si>
  <si>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</si>
  <si>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</si>
  <si>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</si>
  <si>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</si>
  <si>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</si>
  <si>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</si>
  <si>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</si>
  <si>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</si>
  <si>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</si>
  <si>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</si>
  <si>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</si>
  <si>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</si>
  <si>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</si>
  <si>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</si>
  <si>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</si>
  <si>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</si>
  <si>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</si>
  <si>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</si>
  <si>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</si>
  <si>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</si>
  <si>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</si>
  <si>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</si>
  <si>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</si>
  <si>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</si>
  <si>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</si>
  <si>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</si>
  <si>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</si>
  <si>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</si>
  <si>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</si>
  <si>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</si>
  <si>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</si>
  <si>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</si>
  <si>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</si>
  <si>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</si>
  <si>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</si>
  <si>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</si>
  <si>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</si>
  <si>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</si>
  <si>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</si>
  <si>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</si>
  <si>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</si>
  <si>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</si>
  <si>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</si>
  <si>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</si>
  <si>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</si>
  <si>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</si>
  <si>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</si>
  <si>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</si>
  <si>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</si>
  <si>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</si>
  <si>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</si>
  <si>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</si>
  <si>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</si>
  <si>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</si>
  <si>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</si>
  <si>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</si>
  <si>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</si>
  <si>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</si>
  <si>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</si>
  <si>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</si>
  <si>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</si>
  <si>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</si>
  <si>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</si>
  <si>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</si>
  <si>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</si>
  <si>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</si>
  <si>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</si>
  <si>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</si>
  <si>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</si>
  <si>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</si>
  <si>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</si>
  <si>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</si>
  <si>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</si>
  <si>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</si>
  <si>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</si>
  <si>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</si>
  <si>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</si>
  <si>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</si>
  <si>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</si>
  <si>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</si>
  <si>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</si>
  <si>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</si>
  <si>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</si>
  <si>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</si>
  <si>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</si>
  <si>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</si>
  <si>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</si>
  <si>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</si>
  <si>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</si>
  <si>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</si>
  <si>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</si>
  <si>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</si>
  <si>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</si>
  <si>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</si>
  <si>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</si>
  <si>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</si>
  <si>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</si>
  <si>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</si>
  <si>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</si>
  <si>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</si>
  <si>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</si>
  <si>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</si>
  <si>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</si>
  <si>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</si>
  <si>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</si>
  <si>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</si>
  <si>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</si>
  <si>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</si>
  <si>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</si>
  <si>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</si>
  <si>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</si>
  <si>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</si>
  <si>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</si>
  <si>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</si>
  <si>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</si>
  <si>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</si>
  <si>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</si>
  <si>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</si>
  <si>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</si>
  <si>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</si>
  <si>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</si>
  <si>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</si>
  <si>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Inc.</t>
  </si>
  <si>
    <t>HUMANA GRP</t>
  </si>
  <si>
    <t>Humana</t>
  </si>
  <si>
    <t>119</t>
  </si>
  <si>
    <t>2014</t>
  </si>
  <si>
    <t>321 West Main Street, 12th Floor Louisville, KY 40202</t>
  </si>
  <si>
    <t>611013183</t>
  </si>
  <si>
    <t>095885</t>
  </si>
  <si>
    <t>95885</t>
  </si>
  <si>
    <t>74320</t>
  </si>
  <si>
    <t>215</t>
  </si>
  <si>
    <t>Humana Insurance Company</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</si>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</sst>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141</v>
      </c>
    </row>
    <row r="13" spans="1:6" x14ac:dyDescent="0.2">
      <c r="B13" s="232" t="s">
        <v>50</v>
      </c>
      <c r="C13" s="378" t="s">
        <v>157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N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49585395</v>
      </c>
      <c r="E5" s="106">
        <f>SUM('Pt 2 Premium and Claims'!E$5,'Pt 2 Premium and Claims'!E$6,-'Pt 2 Premium and Claims'!E$7,-'Pt 2 Premium and Claims'!E$13,'Pt 2 Premium and Claims'!E$14:'Pt 2 Premium and Claims'!E$17)</f>
        <v>64280798.86999999</v>
      </c>
      <c r="F5" s="106">
        <f>SUM('Pt 2 Premium and Claims'!F$5,'Pt 2 Premium and Claims'!F$6,-'Pt 2 Premium and Claims'!F$7,-'Pt 2 Premium and Claims'!F$13,'Pt 2 Premium and Claims'!F$14:'Pt 2 Premium and Claims'!F$17)</f>
        <v>2925870.24</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42352769</v>
      </c>
      <c r="J5" s="105">
        <f>SUM('Pt 2 Premium and Claims'!J$5,'Pt 2 Premium and Claims'!J$6,-'Pt 2 Premium and Claims'!J$7,-'Pt 2 Premium and Claims'!J$13,'Pt 2 Premium and Claims'!J$14,'Pt 2 Premium and Claims'!J$16:'Pt 2 Premium and Claims'!J$17)</f>
        <v>57061148</v>
      </c>
      <c r="K5" s="106">
        <f>SUM('Pt 2 Premium and Claims'!K$5,'Pt 2 Premium and Claims'!K$6,-'Pt 2 Premium and Claims'!K$7,-'Pt 2 Premium and Claims'!K$13,'Pt 2 Premium and Claims'!K$14,'Pt 2 Premium and Claims'!K$16:'Pt 2 Premium and Claims'!K$17)</f>
        <v>63684923.482923612</v>
      </c>
      <c r="L5" s="106">
        <f>SUM('Pt 2 Premium and Claims'!L$5,'Pt 2 Premium and Claims'!L$6,-'Pt 2 Premium and Claims'!L$7,-'Pt 2 Premium and Claims'!L$13,'Pt 2 Premium and Claims'!L$14,'Pt 2 Premium and Claims'!L$16:'Pt 2 Premium and Claims'!L$17)</f>
        <v>9757672.5499999989</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9950807</v>
      </c>
      <c r="Q5" s="106">
        <f>SUM('Pt 2 Premium and Claims'!Q$5,'Pt 2 Premium and Claims'!Q$6,-'Pt 2 Premium and Claims'!Q$7,-'Pt 2 Premium and Claims'!Q$13,'Pt 2 Premium and Claims'!Q$14)</f>
        <v>14241996.151277201</v>
      </c>
      <c r="R5" s="106">
        <f>SUM('Pt 2 Premium and Claims'!R$5,'Pt 2 Premium and Claims'!R$6,-'Pt 2 Premium and Claims'!R$7,-'Pt 2 Premium and Claims'!R$13,'Pt 2 Premium and Claims'!R$14)</f>
        <v>1851989.3200000003</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140947388</v>
      </c>
      <c r="AT5" s="107">
        <f>SUM('Pt 2 Premium and Claims'!AT$5,'Pt 2 Premium and Claims'!AT$6,-'Pt 2 Premium and Claims'!AT$7,-'Pt 2 Premium and Claims'!AT$13,'Pt 2 Premium and Claims'!AT$14)</f>
        <v>490623</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-4604</v>
      </c>
      <c r="E7" s="110">
        <v>-10869.190720102144</v>
      </c>
      <c r="F7" s="110">
        <v>-6265.190720102144</v>
      </c>
      <c r="G7" s="110"/>
      <c r="H7" s="110"/>
      <c r="I7" s="109"/>
      <c r="J7" s="109">
        <v>-8506</v>
      </c>
      <c r="K7" s="110">
        <v>-17761.562756799714</v>
      </c>
      <c r="L7" s="110">
        <v>-9255.5627567997162</v>
      </c>
      <c r="M7" s="110"/>
      <c r="N7" s="110"/>
      <c r="O7" s="109"/>
      <c r="P7" s="109">
        <v>-2770</v>
      </c>
      <c r="Q7" s="110">
        <v>-6339.8248941377315</v>
      </c>
      <c r="R7" s="110">
        <v>-3569.824894137731</v>
      </c>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-438619</v>
      </c>
      <c r="E8" s="289"/>
      <c r="F8" s="290"/>
      <c r="G8" s="290"/>
      <c r="H8" s="290"/>
      <c r="I8" s="293"/>
      <c r="J8" s="109">
        <v>-104059</v>
      </c>
      <c r="K8" s="289"/>
      <c r="L8" s="290"/>
      <c r="M8" s="290"/>
      <c r="N8" s="290"/>
      <c r="O8" s="293"/>
      <c r="P8" s="109">
        <v>-10271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47107324</v>
      </c>
      <c r="E12" s="106">
        <f>'Pt 2 Premium and Claims'!E$54</f>
        <v>55236205.288007319</v>
      </c>
      <c r="F12" s="106">
        <f>'Pt 2 Premium and Claims'!F$54</f>
        <v>3119683.2615</v>
      </c>
      <c r="G12" s="106">
        <f>'Pt 2 Premium and Claims'!G$54</f>
        <v>0</v>
      </c>
      <c r="H12" s="106">
        <f>'Pt 2 Premium and Claims'!H$54</f>
        <v>0</v>
      </c>
      <c r="I12" s="105">
        <f>'Pt 2 Premium and Claims'!I$54</f>
        <v>42648656</v>
      </c>
      <c r="J12" s="105">
        <f>'Pt 2 Premium and Claims'!J$54</f>
        <v>45363230</v>
      </c>
      <c r="K12" s="106">
        <f>'Pt 2 Premium and Claims'!K$54</f>
        <v>51868806.79107818</v>
      </c>
      <c r="L12" s="106">
        <f>'Pt 2 Premium and Claims'!L$54</f>
        <v>7665557.8887</v>
      </c>
      <c r="M12" s="106">
        <f>'Pt 2 Premium and Claims'!M$54</f>
        <v>0</v>
      </c>
      <c r="N12" s="106">
        <f>'Pt 2 Premium and Claims'!N$54</f>
        <v>0</v>
      </c>
      <c r="O12" s="105">
        <f>'Pt 2 Premium and Claims'!O$54</f>
        <v>0</v>
      </c>
      <c r="P12" s="105">
        <f>'Pt 2 Premium and Claims'!P$54</f>
        <v>6920080</v>
      </c>
      <c r="Q12" s="106">
        <f>'Pt 2 Premium and Claims'!Q$54</f>
        <v>10764314.334293632</v>
      </c>
      <c r="R12" s="106">
        <f>'Pt 2 Premium and Claims'!R$54</f>
        <v>1450725.1643000001</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122579038</v>
      </c>
      <c r="AT12" s="107">
        <f>'Pt 2 Premium and Claims'!AT$54</f>
        <v>205819</v>
      </c>
      <c r="AU12" s="107">
        <f>'Pt 2 Premium and Claims'!AU$54</f>
        <v>0</v>
      </c>
      <c r="AV12" s="312"/>
      <c r="AW12" s="317"/>
    </row>
    <row r="13" spans="1:49" ht="25.5" x14ac:dyDescent="0.2">
      <c r="B13" s="155" t="s">
        <v>230</v>
      </c>
      <c r="C13" s="62" t="s">
        <v>37</v>
      </c>
      <c r="D13" s="109">
        <v>6918347</v>
      </c>
      <c r="E13" s="110">
        <v>7178201.4050073149</v>
      </c>
      <c r="F13" s="110"/>
      <c r="G13" s="289"/>
      <c r="H13" s="290"/>
      <c r="I13" s="109">
        <v>6502657</v>
      </c>
      <c r="J13" s="109">
        <v>8403464</v>
      </c>
      <c r="K13" s="110">
        <v>8208040.7774186106</v>
      </c>
      <c r="L13" s="110"/>
      <c r="M13" s="289"/>
      <c r="N13" s="290"/>
      <c r="O13" s="109"/>
      <c r="P13" s="109">
        <v>1442450</v>
      </c>
      <c r="Q13" s="110">
        <v>1649227.5575740745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14505914</v>
      </c>
      <c r="AT13" s="113"/>
      <c r="AU13" s="113"/>
      <c r="AV13" s="311"/>
      <c r="AW13" s="318"/>
    </row>
    <row r="14" spans="1:49" ht="25.5" x14ac:dyDescent="0.2">
      <c r="B14" s="155" t="s">
        <v>231</v>
      </c>
      <c r="C14" s="62" t="s">
        <v>6</v>
      </c>
      <c r="D14" s="109">
        <v>277075</v>
      </c>
      <c r="E14" s="110">
        <v>263649.34999999998</v>
      </c>
      <c r="F14" s="110"/>
      <c r="G14" s="288"/>
      <c r="H14" s="291"/>
      <c r="I14" s="109">
        <v>195025</v>
      </c>
      <c r="J14" s="109">
        <v>822120</v>
      </c>
      <c r="K14" s="110">
        <v>763981.60096298356</v>
      </c>
      <c r="L14" s="110"/>
      <c r="M14" s="288"/>
      <c r="N14" s="291"/>
      <c r="O14" s="109"/>
      <c r="P14" s="109">
        <v>170327</v>
      </c>
      <c r="Q14" s="110">
        <v>196209.39903701592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3466467</v>
      </c>
      <c r="AT14" s="113"/>
      <c r="AU14" s="113"/>
      <c r="AV14" s="311"/>
      <c r="AW14" s="318"/>
    </row>
    <row r="15" spans="1:49" ht="38.25" x14ac:dyDescent="0.2">
      <c r="B15" s="155" t="s">
        <v>232</v>
      </c>
      <c r="C15" s="62" t="s">
        <v>7</v>
      </c>
      <c r="D15" s="109">
        <v>889</v>
      </c>
      <c r="E15" s="110">
        <v>889</v>
      </c>
      <c r="F15" s="110"/>
      <c r="G15" s="288"/>
      <c r="H15" s="294"/>
      <c r="I15" s="109">
        <v>653</v>
      </c>
      <c r="J15" s="109">
        <v>1016.9999999999999</v>
      </c>
      <c r="K15" s="110">
        <v>1016.9999999999999</v>
      </c>
      <c r="L15" s="110"/>
      <c r="M15" s="288"/>
      <c r="N15" s="294"/>
      <c r="O15" s="109"/>
      <c r="P15" s="109">
        <v>145</v>
      </c>
      <c r="Q15" s="110">
        <v>145</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2295</v>
      </c>
      <c r="AT15" s="113">
        <v>4</v>
      </c>
      <c r="AU15" s="113"/>
      <c r="AV15" s="311"/>
      <c r="AW15" s="318"/>
    </row>
    <row r="16" spans="1:49" ht="25.5" x14ac:dyDescent="0.2">
      <c r="B16" s="155" t="s">
        <v>233</v>
      </c>
      <c r="C16" s="62" t="s">
        <v>61</v>
      </c>
      <c r="D16" s="109">
        <v>-9331361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363939</v>
      </c>
      <c r="E17" s="288"/>
      <c r="F17" s="291"/>
      <c r="G17" s="291"/>
      <c r="H17" s="291"/>
      <c r="I17" s="292"/>
      <c r="J17" s="109">
        <v>3213</v>
      </c>
      <c r="K17" s="288"/>
      <c r="L17" s="291"/>
      <c r="M17" s="291"/>
      <c r="N17" s="291"/>
      <c r="O17" s="292"/>
      <c r="P17" s="109">
        <v>714359</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527211</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891150</v>
      </c>
      <c r="E19" s="288"/>
      <c r="F19" s="291"/>
      <c r="G19" s="291"/>
      <c r="H19" s="291"/>
      <c r="I19" s="292"/>
      <c r="J19" s="109">
        <v>4459.0000000000009</v>
      </c>
      <c r="K19" s="288"/>
      <c r="L19" s="291"/>
      <c r="M19" s="291"/>
      <c r="N19" s="291"/>
      <c r="O19" s="292"/>
      <c r="P19" s="109">
        <v>732544</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1247</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23373</v>
      </c>
      <c r="E22" s="115">
        <f>'Pt 2 Premium and Claims'!E$55</f>
        <v>30926.2</v>
      </c>
      <c r="F22" s="115">
        <f>'Pt 2 Premium and Claims'!F$55</f>
        <v>0</v>
      </c>
      <c r="G22" s="115">
        <f>'Pt 2 Premium and Claims'!G$55</f>
        <v>0</v>
      </c>
      <c r="H22" s="115">
        <f>'Pt 2 Premium and Claims'!H$55</f>
        <v>0</v>
      </c>
      <c r="I22" s="114">
        <f>'Pt 2 Premium and Claims'!I$55</f>
        <v>1979</v>
      </c>
      <c r="J22" s="114">
        <f>'Pt 2 Premium and Claims'!J$55</f>
        <v>57385</v>
      </c>
      <c r="K22" s="115">
        <f>'Pt 2 Premium and Claims'!K$55</f>
        <v>57661.06</v>
      </c>
      <c r="L22" s="115">
        <f>'Pt 2 Premium and Claims'!L$55</f>
        <v>0</v>
      </c>
      <c r="M22" s="115">
        <f>'Pt 2 Premium and Claims'!M$55</f>
        <v>0</v>
      </c>
      <c r="N22" s="115">
        <f>'Pt 2 Premium and Claims'!N$55</f>
        <v>0</v>
      </c>
      <c r="O22" s="114">
        <f>'Pt 2 Premium and Claims'!O$55</f>
        <v>0</v>
      </c>
      <c r="P22" s="114">
        <f>'Pt 2 Premium and Claims'!P$55</f>
        <v>18640</v>
      </c>
      <c r="Q22" s="115">
        <f>'Pt 2 Premium and Claims'!Q$55</f>
        <v>18684.77</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1152187.142</v>
      </c>
      <c r="E25" s="110">
        <v>801261.65018664545</v>
      </c>
      <c r="F25" s="110">
        <v>-22121.491813354525</v>
      </c>
      <c r="G25" s="110"/>
      <c r="H25" s="110"/>
      <c r="I25" s="109">
        <v>466391</v>
      </c>
      <c r="J25" s="109">
        <v>548046.24950000003</v>
      </c>
      <c r="K25" s="110">
        <v>851446.13080382091</v>
      </c>
      <c r="L25" s="110">
        <v>303399.88130382082</v>
      </c>
      <c r="M25" s="110"/>
      <c r="N25" s="110"/>
      <c r="O25" s="109"/>
      <c r="P25" s="109">
        <v>19477.316269999999</v>
      </c>
      <c r="Q25" s="110">
        <v>-49797.615582075232</v>
      </c>
      <c r="R25" s="110">
        <v>-69274.931852075228</v>
      </c>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39484.458550000003</v>
      </c>
      <c r="AT25" s="113">
        <v>94482.453500000003</v>
      </c>
      <c r="AU25" s="113"/>
      <c r="AV25" s="113"/>
      <c r="AW25" s="318"/>
    </row>
    <row r="26" spans="1:49" s="5" customFormat="1" x14ac:dyDescent="0.2">
      <c r="A26" s="35"/>
      <c r="B26" s="158" t="s">
        <v>243</v>
      </c>
      <c r="C26" s="62"/>
      <c r="D26" s="109"/>
      <c r="E26" s="110">
        <v>34899.040133184404</v>
      </c>
      <c r="F26" s="110">
        <v>2399.4501331844021</v>
      </c>
      <c r="G26" s="110"/>
      <c r="H26" s="110"/>
      <c r="I26" s="109">
        <v>15197</v>
      </c>
      <c r="J26" s="109"/>
      <c r="K26" s="110">
        <v>31201.817047559045</v>
      </c>
      <c r="L26" s="110">
        <v>4123.6870475590449</v>
      </c>
      <c r="M26" s="110"/>
      <c r="N26" s="110"/>
      <c r="O26" s="109"/>
      <c r="P26" s="109"/>
      <c r="Q26" s="110">
        <v>6043.4490576350599</v>
      </c>
      <c r="R26" s="110">
        <v>746.60905763505946</v>
      </c>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618583.25</v>
      </c>
      <c r="E27" s="110">
        <v>655918.52206308453</v>
      </c>
      <c r="F27" s="110">
        <v>37335.272063084507</v>
      </c>
      <c r="G27" s="110"/>
      <c r="H27" s="110"/>
      <c r="I27" s="109">
        <v>418661</v>
      </c>
      <c r="J27" s="109">
        <v>693212.75999999989</v>
      </c>
      <c r="K27" s="110">
        <v>811311.40738833207</v>
      </c>
      <c r="L27" s="110">
        <v>118098.64738833216</v>
      </c>
      <c r="M27" s="110"/>
      <c r="N27" s="110"/>
      <c r="O27" s="109"/>
      <c r="P27" s="109">
        <v>149372.74</v>
      </c>
      <c r="Q27" s="110">
        <v>178283.95423946422</v>
      </c>
      <c r="R27" s="110">
        <v>28911.214239464236</v>
      </c>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1753484.13</v>
      </c>
      <c r="AT27" s="113">
        <v>2966.88</v>
      </c>
      <c r="AU27" s="113"/>
      <c r="AV27" s="314"/>
      <c r="AW27" s="318"/>
    </row>
    <row r="28" spans="1:49" s="5" customFormat="1" x14ac:dyDescent="0.2">
      <c r="A28" s="35"/>
      <c r="B28" s="158" t="s">
        <v>245</v>
      </c>
      <c r="C28" s="62"/>
      <c r="D28" s="109">
        <v>609966.65</v>
      </c>
      <c r="E28" s="110">
        <v>156008.15858131059</v>
      </c>
      <c r="F28" s="110">
        <v>11456.978581310581</v>
      </c>
      <c r="G28" s="110"/>
      <c r="H28" s="110"/>
      <c r="I28" s="109">
        <v>62646</v>
      </c>
      <c r="J28" s="109">
        <v>795305.48</v>
      </c>
      <c r="K28" s="110">
        <v>121159.86120227294</v>
      </c>
      <c r="L28" s="110">
        <v>16068.391202272924</v>
      </c>
      <c r="M28" s="110"/>
      <c r="N28" s="110"/>
      <c r="O28" s="109"/>
      <c r="P28" s="109">
        <v>185639.56999999998</v>
      </c>
      <c r="Q28" s="110">
        <v>29978.460617263765</v>
      </c>
      <c r="R28" s="110">
        <v>2841.4806172637673</v>
      </c>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31673.800000000003</v>
      </c>
      <c r="AT28" s="113">
        <v>66.86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70530.764629999991</v>
      </c>
      <c r="E30" s="110">
        <v>87025.815105635033</v>
      </c>
      <c r="F30" s="110">
        <v>535.86907563504508</v>
      </c>
      <c r="G30" s="110"/>
      <c r="H30" s="110"/>
      <c r="I30" s="109">
        <v>50831</v>
      </c>
      <c r="J30" s="109">
        <v>47773.370640000008</v>
      </c>
      <c r="K30" s="110">
        <v>94927.749085692136</v>
      </c>
      <c r="L30" s="110">
        <v>24093.329845692111</v>
      </c>
      <c r="M30" s="110"/>
      <c r="N30" s="110"/>
      <c r="O30" s="109"/>
      <c r="P30" s="109">
        <v>2885.6942790000003</v>
      </c>
      <c r="Q30" s="110">
        <v>4090.6913747166227</v>
      </c>
      <c r="R30" s="110">
        <v>-4052.7329042833771</v>
      </c>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16011.014697000001</v>
      </c>
      <c r="AT30" s="113">
        <v>7358.3809730000003</v>
      </c>
      <c r="AU30" s="113"/>
      <c r="AV30" s="113"/>
      <c r="AW30" s="318"/>
    </row>
    <row r="31" spans="1:49" x14ac:dyDescent="0.2">
      <c r="B31" s="158" t="s">
        <v>248</v>
      </c>
      <c r="C31" s="62"/>
      <c r="D31" s="109">
        <v>75159.938600000009</v>
      </c>
      <c r="E31" s="110">
        <v>58999.786505464712</v>
      </c>
      <c r="F31" s="110">
        <v>48535.507905464714</v>
      </c>
      <c r="G31" s="110"/>
      <c r="H31" s="110"/>
      <c r="I31" s="109">
        <v>754</v>
      </c>
      <c r="J31" s="109">
        <v>79.941400000000002</v>
      </c>
      <c r="K31" s="110">
        <v>155427.55386463832</v>
      </c>
      <c r="L31" s="110">
        <v>155347.61246463831</v>
      </c>
      <c r="M31" s="110"/>
      <c r="N31" s="110"/>
      <c r="O31" s="109"/>
      <c r="P31" s="109"/>
      <c r="Q31" s="110">
        <v>25235.312655213667</v>
      </c>
      <c r="R31" s="110">
        <v>25235.312655213667</v>
      </c>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1016787.8106227205</v>
      </c>
      <c r="F34" s="110">
        <v>74276.360622720313</v>
      </c>
      <c r="G34" s="110"/>
      <c r="H34" s="110"/>
      <c r="I34" s="109">
        <v>388174</v>
      </c>
      <c r="J34" s="109"/>
      <c r="K34" s="110">
        <v>840596.38148516498</v>
      </c>
      <c r="L34" s="110">
        <v>93059.081485165021</v>
      </c>
      <c r="M34" s="110"/>
      <c r="N34" s="110"/>
      <c r="O34" s="109"/>
      <c r="P34" s="109"/>
      <c r="Q34" s="110">
        <v>201117.76477429914</v>
      </c>
      <c r="R34" s="110">
        <v>24088.974774299153</v>
      </c>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39377.780000000006</v>
      </c>
      <c r="E35" s="110">
        <v>378538.67843747931</v>
      </c>
      <c r="F35" s="110">
        <v>3185.9084374792997</v>
      </c>
      <c r="G35" s="110"/>
      <c r="H35" s="110"/>
      <c r="I35" s="109">
        <v>353265</v>
      </c>
      <c r="J35" s="109">
        <v>28896.470000000005</v>
      </c>
      <c r="K35" s="110">
        <v>39784.703783443409</v>
      </c>
      <c r="L35" s="110">
        <v>5730.0537834434026</v>
      </c>
      <c r="M35" s="110"/>
      <c r="N35" s="110"/>
      <c r="O35" s="109"/>
      <c r="P35" s="109">
        <v>7370.6699999999992</v>
      </c>
      <c r="Q35" s="110">
        <v>153758.74082318234</v>
      </c>
      <c r="R35" s="110">
        <v>146367.88082318235</v>
      </c>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81625.98000000001</v>
      </c>
      <c r="AT35" s="113">
        <v>211.73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136873</v>
      </c>
      <c r="E37" s="118">
        <v>142419.91999999995</v>
      </c>
      <c r="F37" s="118">
        <v>5547.71</v>
      </c>
      <c r="G37" s="118"/>
      <c r="H37" s="118"/>
      <c r="I37" s="117">
        <v>61364</v>
      </c>
      <c r="J37" s="117">
        <v>236627</v>
      </c>
      <c r="K37" s="118">
        <v>256556.61000000002</v>
      </c>
      <c r="L37" s="118">
        <v>19930.52</v>
      </c>
      <c r="M37" s="118"/>
      <c r="N37" s="118"/>
      <c r="O37" s="117"/>
      <c r="P37" s="117">
        <v>49039</v>
      </c>
      <c r="Q37" s="118">
        <v>52201.85</v>
      </c>
      <c r="R37" s="118">
        <v>3162.69</v>
      </c>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1255490</v>
      </c>
      <c r="AT37" s="119"/>
      <c r="AU37" s="119"/>
      <c r="AV37" s="119"/>
      <c r="AW37" s="317"/>
    </row>
    <row r="38" spans="1:49" x14ac:dyDescent="0.2">
      <c r="B38" s="155" t="s">
        <v>255</v>
      </c>
      <c r="C38" s="62" t="s">
        <v>16</v>
      </c>
      <c r="D38" s="109">
        <v>30985</v>
      </c>
      <c r="E38" s="110">
        <v>33858.69000000001</v>
      </c>
      <c r="F38" s="110">
        <v>2873.4300000000003</v>
      </c>
      <c r="G38" s="110"/>
      <c r="H38" s="110"/>
      <c r="I38" s="109">
        <v>14348</v>
      </c>
      <c r="J38" s="109">
        <v>85712</v>
      </c>
      <c r="K38" s="110">
        <v>100112.63999999998</v>
      </c>
      <c r="L38" s="110">
        <v>14401.079999999998</v>
      </c>
      <c r="M38" s="110"/>
      <c r="N38" s="110"/>
      <c r="O38" s="109"/>
      <c r="P38" s="109">
        <v>16479</v>
      </c>
      <c r="Q38" s="110">
        <v>18739.25</v>
      </c>
      <c r="R38" s="110">
        <v>2260.7199999999998</v>
      </c>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530356</v>
      </c>
      <c r="AT38" s="113"/>
      <c r="AU38" s="113"/>
      <c r="AV38" s="113"/>
      <c r="AW38" s="318"/>
    </row>
    <row r="39" spans="1:49" x14ac:dyDescent="0.2">
      <c r="B39" s="158" t="s">
        <v>256</v>
      </c>
      <c r="C39" s="62" t="s">
        <v>17</v>
      </c>
      <c r="D39" s="109">
        <v>49278</v>
      </c>
      <c r="E39" s="110">
        <v>50361.82</v>
      </c>
      <c r="F39" s="110">
        <v>1084.0400000000002</v>
      </c>
      <c r="G39" s="110"/>
      <c r="H39" s="110"/>
      <c r="I39" s="109">
        <v>21883</v>
      </c>
      <c r="J39" s="109">
        <v>79877</v>
      </c>
      <c r="K39" s="110">
        <v>83016.429999999993</v>
      </c>
      <c r="L39" s="110">
        <v>3139.85</v>
      </c>
      <c r="M39" s="110"/>
      <c r="N39" s="110"/>
      <c r="O39" s="109"/>
      <c r="P39" s="109">
        <v>15791</v>
      </c>
      <c r="Q39" s="110">
        <v>16300.210000000001</v>
      </c>
      <c r="R39" s="110">
        <v>508.97999999999996</v>
      </c>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369288</v>
      </c>
      <c r="AT39" s="113"/>
      <c r="AU39" s="113"/>
      <c r="AV39" s="113"/>
      <c r="AW39" s="318"/>
    </row>
    <row r="40" spans="1:49" x14ac:dyDescent="0.2">
      <c r="B40" s="158" t="s">
        <v>257</v>
      </c>
      <c r="C40" s="62" t="s">
        <v>38</v>
      </c>
      <c r="D40" s="109">
        <v>26301</v>
      </c>
      <c r="E40" s="110">
        <v>27683.22</v>
      </c>
      <c r="F40" s="110">
        <v>1382</v>
      </c>
      <c r="G40" s="110"/>
      <c r="H40" s="110"/>
      <c r="I40" s="109">
        <v>17412</v>
      </c>
      <c r="J40" s="109">
        <v>737884</v>
      </c>
      <c r="K40" s="110">
        <v>751595.86</v>
      </c>
      <c r="L40" s="110">
        <v>13711.859999999999</v>
      </c>
      <c r="M40" s="110"/>
      <c r="N40" s="110"/>
      <c r="O40" s="109"/>
      <c r="P40" s="109">
        <v>120138</v>
      </c>
      <c r="Q40" s="110">
        <v>122153.83000000002</v>
      </c>
      <c r="R40" s="110">
        <v>2015.72</v>
      </c>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1474047</v>
      </c>
      <c r="AT40" s="113">
        <v>10</v>
      </c>
      <c r="AU40" s="113"/>
      <c r="AV40" s="113"/>
      <c r="AW40" s="318"/>
    </row>
    <row r="41" spans="1:49" s="5" customFormat="1" ht="25.5" x14ac:dyDescent="0.2">
      <c r="A41" s="35"/>
      <c r="B41" s="158" t="s">
        <v>258</v>
      </c>
      <c r="C41" s="62" t="s">
        <v>129</v>
      </c>
      <c r="D41" s="109">
        <v>64316</v>
      </c>
      <c r="E41" s="110">
        <v>71887.640000000014</v>
      </c>
      <c r="F41" s="110">
        <v>7571.97</v>
      </c>
      <c r="G41" s="110"/>
      <c r="H41" s="110"/>
      <c r="I41" s="109">
        <v>19979</v>
      </c>
      <c r="J41" s="109">
        <v>54033</v>
      </c>
      <c r="K41" s="110">
        <v>62747.35</v>
      </c>
      <c r="L41" s="110">
        <v>8714.06</v>
      </c>
      <c r="M41" s="110"/>
      <c r="N41" s="110"/>
      <c r="O41" s="109"/>
      <c r="P41" s="109">
        <v>11110</v>
      </c>
      <c r="Q41" s="110">
        <v>12609.010000000002</v>
      </c>
      <c r="R41" s="110">
        <v>1499.15</v>
      </c>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95782</v>
      </c>
      <c r="AT41" s="113">
        <v>261</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409826</v>
      </c>
      <c r="E44" s="118">
        <v>451573.02825870278</v>
      </c>
      <c r="F44" s="118">
        <v>41747.028258702798</v>
      </c>
      <c r="G44" s="118"/>
      <c r="H44" s="118"/>
      <c r="I44" s="117">
        <v>250324</v>
      </c>
      <c r="J44" s="117">
        <v>646205</v>
      </c>
      <c r="K44" s="118">
        <v>694814.62689399149</v>
      </c>
      <c r="L44" s="118">
        <v>48609.626893991481</v>
      </c>
      <c r="M44" s="118"/>
      <c r="N44" s="118"/>
      <c r="O44" s="117"/>
      <c r="P44" s="117">
        <v>160509</v>
      </c>
      <c r="Q44" s="118">
        <v>175045.50236851693</v>
      </c>
      <c r="R44" s="118">
        <v>14536.502368516944</v>
      </c>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1498631</v>
      </c>
      <c r="AT44" s="119">
        <v>1175</v>
      </c>
      <c r="AU44" s="119"/>
      <c r="AV44" s="119"/>
      <c r="AW44" s="317"/>
    </row>
    <row r="45" spans="1:49" x14ac:dyDescent="0.2">
      <c r="B45" s="161" t="s">
        <v>262</v>
      </c>
      <c r="C45" s="62" t="s">
        <v>19</v>
      </c>
      <c r="D45" s="109">
        <v>566194</v>
      </c>
      <c r="E45" s="110">
        <v>578815.52148473554</v>
      </c>
      <c r="F45" s="110">
        <v>12621.521484735502</v>
      </c>
      <c r="G45" s="110"/>
      <c r="H45" s="110"/>
      <c r="I45" s="109">
        <v>284802</v>
      </c>
      <c r="J45" s="109">
        <v>270351</v>
      </c>
      <c r="K45" s="110">
        <v>295436.61572941014</v>
      </c>
      <c r="L45" s="110">
        <v>25085.615729410147</v>
      </c>
      <c r="M45" s="110"/>
      <c r="N45" s="110"/>
      <c r="O45" s="109"/>
      <c r="P45" s="109">
        <v>56247</v>
      </c>
      <c r="Q45" s="110">
        <v>61512.720879387831</v>
      </c>
      <c r="R45" s="110">
        <v>5265.720879387829</v>
      </c>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668527</v>
      </c>
      <c r="AT45" s="113">
        <v>1219</v>
      </c>
      <c r="AU45" s="113"/>
      <c r="AV45" s="113"/>
      <c r="AW45" s="318"/>
    </row>
    <row r="46" spans="1:49" x14ac:dyDescent="0.2">
      <c r="B46" s="161" t="s">
        <v>263</v>
      </c>
      <c r="C46" s="62" t="s">
        <v>20</v>
      </c>
      <c r="D46" s="109">
        <v>593579</v>
      </c>
      <c r="E46" s="110">
        <v>651283.80746797589</v>
      </c>
      <c r="F46" s="110">
        <v>57704.807467975937</v>
      </c>
      <c r="G46" s="110"/>
      <c r="H46" s="110"/>
      <c r="I46" s="109">
        <v>291805</v>
      </c>
      <c r="J46" s="109">
        <v>352828</v>
      </c>
      <c r="K46" s="110">
        <v>424958.16782620654</v>
      </c>
      <c r="L46" s="110">
        <v>72130.167826206525</v>
      </c>
      <c r="M46" s="110"/>
      <c r="N46" s="110"/>
      <c r="O46" s="109"/>
      <c r="P46" s="109">
        <v>72816</v>
      </c>
      <c r="Q46" s="110">
        <v>83479.084780760357</v>
      </c>
      <c r="R46" s="110">
        <v>10663.084780760355</v>
      </c>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1622294</v>
      </c>
      <c r="AT46" s="113">
        <v>4544</v>
      </c>
      <c r="AU46" s="113"/>
      <c r="AV46" s="113"/>
      <c r="AW46" s="318"/>
    </row>
    <row r="47" spans="1:49" x14ac:dyDescent="0.2">
      <c r="B47" s="161" t="s">
        <v>264</v>
      </c>
      <c r="C47" s="62" t="s">
        <v>21</v>
      </c>
      <c r="D47" s="109">
        <v>2226432</v>
      </c>
      <c r="E47" s="110">
        <v>2400258.83039241</v>
      </c>
      <c r="F47" s="110">
        <v>173826.83039241022</v>
      </c>
      <c r="G47" s="110"/>
      <c r="H47" s="110"/>
      <c r="I47" s="109">
        <v>968208</v>
      </c>
      <c r="J47" s="109">
        <v>3738531</v>
      </c>
      <c r="K47" s="110">
        <v>3882465.1338099823</v>
      </c>
      <c r="L47" s="110">
        <v>143934.13380998213</v>
      </c>
      <c r="M47" s="110"/>
      <c r="N47" s="110"/>
      <c r="O47" s="109"/>
      <c r="P47" s="109">
        <v>701272</v>
      </c>
      <c r="Q47" s="110">
        <v>737318.19397546456</v>
      </c>
      <c r="R47" s="110">
        <v>36046.193975464594</v>
      </c>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2291074</v>
      </c>
      <c r="AT47" s="113">
        <v>311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-22760.043229999923</v>
      </c>
      <c r="E49" s="110">
        <v>-164589.10130719768</v>
      </c>
      <c r="F49" s="110">
        <v>2722.8833228022445</v>
      </c>
      <c r="G49" s="110"/>
      <c r="H49" s="110"/>
      <c r="I49" s="109">
        <v>-108393</v>
      </c>
      <c r="J49" s="109">
        <v>-35276.072039999941</v>
      </c>
      <c r="K49" s="110">
        <v>-169678.13227355419</v>
      </c>
      <c r="L49" s="110">
        <v>-21781.411633554239</v>
      </c>
      <c r="M49" s="110"/>
      <c r="N49" s="110"/>
      <c r="O49" s="109"/>
      <c r="P49" s="109">
        <v>28963.105721</v>
      </c>
      <c r="Q49" s="110">
        <v>5178.5521229017377</v>
      </c>
      <c r="R49" s="110">
        <v>5316.4064019017378</v>
      </c>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461777.16530300002</v>
      </c>
      <c r="AT49" s="113">
        <v>-10066.780973000001</v>
      </c>
      <c r="AU49" s="113"/>
      <c r="AV49" s="113"/>
      <c r="AW49" s="318"/>
    </row>
    <row r="50" spans="2:49" ht="25.5" x14ac:dyDescent="0.2">
      <c r="B50" s="155" t="s">
        <v>266</v>
      </c>
      <c r="C50" s="62"/>
      <c r="D50" s="109">
        <v>2135.9200000000014</v>
      </c>
      <c r="E50" s="110">
        <v>2349.7574041123717</v>
      </c>
      <c r="F50" s="110">
        <v>213.83740411237036</v>
      </c>
      <c r="G50" s="110"/>
      <c r="H50" s="110"/>
      <c r="I50" s="109">
        <v>891</v>
      </c>
      <c r="J50" s="109">
        <v>1592.64</v>
      </c>
      <c r="K50" s="110">
        <v>1846.7234733947478</v>
      </c>
      <c r="L50" s="110">
        <v>254.08347339474776</v>
      </c>
      <c r="M50" s="110"/>
      <c r="N50" s="110"/>
      <c r="O50" s="109"/>
      <c r="P50" s="109">
        <v>400.73</v>
      </c>
      <c r="Q50" s="110">
        <v>446.99960403255193</v>
      </c>
      <c r="R50" s="110">
        <v>46.269604032551918</v>
      </c>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4845.3099999999986</v>
      </c>
      <c r="AT50" s="113">
        <v>10.25</v>
      </c>
      <c r="AU50" s="113"/>
      <c r="AV50" s="113"/>
      <c r="AW50" s="318"/>
    </row>
    <row r="51" spans="2:49" x14ac:dyDescent="0.2">
      <c r="B51" s="155" t="s">
        <v>267</v>
      </c>
      <c r="C51" s="62"/>
      <c r="D51" s="109">
        <v>4103328.0000000005</v>
      </c>
      <c r="E51" s="110">
        <v>4517614.6494887229</v>
      </c>
      <c r="F51" s="110">
        <v>414286.64948872238</v>
      </c>
      <c r="G51" s="110"/>
      <c r="H51" s="110"/>
      <c r="I51" s="109">
        <v>1747315</v>
      </c>
      <c r="J51" s="109">
        <v>3070468</v>
      </c>
      <c r="K51" s="110">
        <v>3566986.0707823457</v>
      </c>
      <c r="L51" s="110">
        <v>496518.07078234566</v>
      </c>
      <c r="M51" s="110"/>
      <c r="N51" s="110"/>
      <c r="O51" s="109"/>
      <c r="P51" s="109">
        <v>808283</v>
      </c>
      <c r="Q51" s="110">
        <v>896791.20794364146</v>
      </c>
      <c r="R51" s="110">
        <v>88508.20794364145</v>
      </c>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8060846</v>
      </c>
      <c r="AT51" s="113">
        <v>20300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9720</v>
      </c>
      <c r="E56" s="122">
        <v>9986</v>
      </c>
      <c r="F56" s="122"/>
      <c r="G56" s="122"/>
      <c r="H56" s="122"/>
      <c r="I56" s="121">
        <v>6148</v>
      </c>
      <c r="J56" s="121">
        <v>9472</v>
      </c>
      <c r="K56" s="122">
        <v>9967</v>
      </c>
      <c r="L56" s="122"/>
      <c r="M56" s="122"/>
      <c r="N56" s="122"/>
      <c r="O56" s="121"/>
      <c r="P56" s="121">
        <v>1798</v>
      </c>
      <c r="Q56" s="122">
        <v>2761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37</v>
      </c>
      <c r="AT56" s="123">
        <v>1168</v>
      </c>
      <c r="AU56" s="123"/>
      <c r="AV56" s="123"/>
      <c r="AW56" s="309"/>
    </row>
    <row r="57" spans="2:49" x14ac:dyDescent="0.2">
      <c r="B57" s="161" t="s">
        <v>273</v>
      </c>
      <c r="C57" s="62" t="s">
        <v>25</v>
      </c>
      <c r="D57" s="124">
        <v>16969</v>
      </c>
      <c r="E57" s="125">
        <v>17121</v>
      </c>
      <c r="F57" s="125">
        <v>1162</v>
      </c>
      <c r="G57" s="125"/>
      <c r="H57" s="125"/>
      <c r="I57" s="124">
        <v>9067</v>
      </c>
      <c r="J57" s="124">
        <v>15779</v>
      </c>
      <c r="K57" s="125">
        <v>17572</v>
      </c>
      <c r="L57" s="125">
        <v>2888</v>
      </c>
      <c r="M57" s="125"/>
      <c r="N57" s="125"/>
      <c r="O57" s="124"/>
      <c r="P57" s="124">
        <v>3652</v>
      </c>
      <c r="Q57" s="125">
        <v>4616</v>
      </c>
      <c r="R57" s="125">
        <v>610</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16028</v>
      </c>
      <c r="AT57" s="126">
        <v>1168</v>
      </c>
      <c r="AU57" s="126"/>
      <c r="AV57" s="126"/>
      <c r="AW57" s="310"/>
    </row>
    <row r="58" spans="2:49" x14ac:dyDescent="0.2">
      <c r="B58" s="161" t="s">
        <v>274</v>
      </c>
      <c r="C58" s="62" t="s">
        <v>26</v>
      </c>
      <c r="D58" s="330"/>
      <c r="E58" s="331"/>
      <c r="F58" s="331"/>
      <c r="G58" s="331"/>
      <c r="H58" s="331"/>
      <c r="I58" s="330"/>
      <c r="J58" s="124">
        <v>1562</v>
      </c>
      <c r="K58" s="125">
        <v>1562</v>
      </c>
      <c r="L58" s="125"/>
      <c r="M58" s="125"/>
      <c r="N58" s="125"/>
      <c r="O58" s="124"/>
      <c r="P58" s="124">
        <v>62</v>
      </c>
      <c r="Q58" s="125">
        <v>62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v>
      </c>
      <c r="AT58" s="126"/>
      <c r="AU58" s="126"/>
      <c r="AV58" s="126"/>
      <c r="AW58" s="310"/>
    </row>
    <row r="59" spans="2:49" x14ac:dyDescent="0.2">
      <c r="B59" s="161" t="s">
        <v>275</v>
      </c>
      <c r="C59" s="62" t="s">
        <v>27</v>
      </c>
      <c r="D59" s="124">
        <v>208246</v>
      </c>
      <c r="E59" s="125">
        <v>205949</v>
      </c>
      <c r="F59" s="125">
        <v>17308</v>
      </c>
      <c r="G59" s="125"/>
      <c r="H59" s="125"/>
      <c r="I59" s="124">
        <v>90164</v>
      </c>
      <c r="J59" s="124">
        <v>169989</v>
      </c>
      <c r="K59" s="125">
        <v>173854</v>
      </c>
      <c r="L59" s="125">
        <v>25239</v>
      </c>
      <c r="M59" s="125"/>
      <c r="N59" s="125"/>
      <c r="O59" s="124"/>
      <c r="P59" s="124">
        <v>34275</v>
      </c>
      <c r="Q59" s="125">
        <v>43258</v>
      </c>
      <c r="R59" s="125">
        <v>5339</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186940</v>
      </c>
      <c r="AT59" s="126">
        <v>12161</v>
      </c>
      <c r="AU59" s="126"/>
      <c r="AV59" s="126"/>
      <c r="AW59" s="310"/>
    </row>
    <row r="60" spans="2:49" x14ac:dyDescent="0.2">
      <c r="B60" s="161" t="s">
        <v>276</v>
      </c>
      <c r="C60" s="62"/>
      <c r="D60" s="127">
        <f t="shared" ref="D60:AC60" si="0">D$59/12</f>
        <v>17353.833333333332</v>
      </c>
      <c r="E60" s="128">
        <f t="shared" si="0"/>
        <v>17162.416666666668</v>
      </c>
      <c r="F60" s="128">
        <f t="shared" si="0"/>
        <v>1442.3333333333333</v>
      </c>
      <c r="G60" s="128">
        <f t="shared" si="0"/>
        <v>0</v>
      </c>
      <c r="H60" s="128">
        <f t="shared" si="0"/>
        <v>0</v>
      </c>
      <c r="I60" s="127">
        <f t="shared" si="0"/>
        <v>7513.666666666667</v>
      </c>
      <c r="J60" s="127">
        <f t="shared" si="0"/>
        <v>14165.75</v>
      </c>
      <c r="K60" s="128">
        <f t="shared" si="0"/>
        <v>14487.833333333334</v>
      </c>
      <c r="L60" s="128">
        <f t="shared" si="0"/>
        <v>2103.25</v>
      </c>
      <c r="M60" s="128">
        <f t="shared" si="0"/>
        <v>0</v>
      </c>
      <c r="N60" s="128">
        <f t="shared" si="0"/>
        <v>0</v>
      </c>
      <c r="O60" s="127">
        <f t="shared" si="0"/>
        <v>0</v>
      </c>
      <c r="P60" s="127">
        <f t="shared" si="0"/>
        <v>2856.25</v>
      </c>
      <c r="Q60" s="128">
        <f t="shared" si="0"/>
        <v>3604.8333333333335</v>
      </c>
      <c r="R60" s="128">
        <f t="shared" si="0"/>
        <v>444.91666666666669</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15578.333333333334</v>
      </c>
      <c r="AT60" s="129">
        <f>AT$59/12</f>
        <v>1013.4166666666666</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-13169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-2615173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49579017</v>
      </c>
      <c r="E5" s="118">
        <v>47543279.949999996</v>
      </c>
      <c r="F5" s="118">
        <v>2925870.24</v>
      </c>
      <c r="G5" s="130"/>
      <c r="H5" s="130"/>
      <c r="I5" s="117">
        <v>28798868</v>
      </c>
      <c r="J5" s="117">
        <v>57061148</v>
      </c>
      <c r="K5" s="118">
        <v>66526525.99292361</v>
      </c>
      <c r="L5" s="118">
        <v>9757672.5499999989</v>
      </c>
      <c r="M5" s="118"/>
      <c r="N5" s="118"/>
      <c r="O5" s="117"/>
      <c r="P5" s="117">
        <v>9950807</v>
      </c>
      <c r="Q5" s="118">
        <v>14241996.151277201</v>
      </c>
      <c r="R5" s="118">
        <v>1851989.3200000003</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140947388</v>
      </c>
      <c r="AT5" s="119">
        <v>490623</v>
      </c>
      <c r="AU5" s="119"/>
      <c r="AV5" s="312"/>
      <c r="AW5" s="317"/>
    </row>
    <row r="6" spans="2:49" x14ac:dyDescent="0.2">
      <c r="B6" s="176" t="s">
        <v>279</v>
      </c>
      <c r="C6" s="133" t="s">
        <v>8</v>
      </c>
      <c r="D6" s="109">
        <v>6378</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7994.1399999998976</v>
      </c>
      <c r="E9" s="288"/>
      <c r="F9" s="288"/>
      <c r="G9" s="288"/>
      <c r="H9" s="288"/>
      <c r="I9" s="292"/>
      <c r="J9" s="109">
        <v>-7994.1400000002986</v>
      </c>
      <c r="K9" s="288"/>
      <c r="L9" s="288"/>
      <c r="M9" s="288"/>
      <c r="N9" s="288"/>
      <c r="O9" s="292"/>
      <c r="P9" s="109">
        <v>-427302</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-254070</v>
      </c>
      <c r="E11" s="110"/>
      <c r="F11" s="110"/>
      <c r="G11" s="110"/>
      <c r="H11" s="110"/>
      <c r="I11" s="109"/>
      <c r="J11" s="109">
        <v>0.32000000000266482</v>
      </c>
      <c r="K11" s="110"/>
      <c r="L11" s="110"/>
      <c r="M11" s="110"/>
      <c r="N11" s="110"/>
      <c r="O11" s="109"/>
      <c r="P11" s="109">
        <v>1.1199999999998909</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-2203878</v>
      </c>
      <c r="AT11" s="113"/>
      <c r="AU11" s="113"/>
      <c r="AV11" s="311"/>
      <c r="AW11" s="318"/>
    </row>
    <row r="12" spans="2:49" x14ac:dyDescent="0.2">
      <c r="B12" s="176" t="s">
        <v>283</v>
      </c>
      <c r="C12" s="133" t="s">
        <v>44</v>
      </c>
      <c r="D12" s="109">
        <v>0.35999999986961484</v>
      </c>
      <c r="E12" s="289"/>
      <c r="F12" s="289"/>
      <c r="G12" s="289"/>
      <c r="H12" s="289"/>
      <c r="I12" s="293"/>
      <c r="J12" s="109">
        <v>-0.32000000029802322</v>
      </c>
      <c r="K12" s="289"/>
      <c r="L12" s="289"/>
      <c r="M12" s="289"/>
      <c r="N12" s="289"/>
      <c r="O12" s="293"/>
      <c r="P12" s="109">
        <v>-492973.24000000069</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-1852482</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8822154.9800000004</v>
      </c>
      <c r="F15" s="110"/>
      <c r="G15" s="110"/>
      <c r="H15" s="110"/>
      <c r="I15" s="109">
        <v>8822155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4731745.9400000004</v>
      </c>
      <c r="F16" s="110"/>
      <c r="G16" s="110"/>
      <c r="H16" s="110"/>
      <c r="I16" s="109">
        <v>4731746</v>
      </c>
      <c r="J16" s="109"/>
      <c r="K16" s="110">
        <v>-2841602.51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3183618</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10027750.09</v>
      </c>
      <c r="F20" s="110"/>
      <c r="G20" s="110"/>
      <c r="H20" s="110"/>
      <c r="I20" s="109">
        <v>10027750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43030904</v>
      </c>
      <c r="E23" s="288"/>
      <c r="F23" s="288"/>
      <c r="G23" s="288"/>
      <c r="H23" s="288"/>
      <c r="I23" s="292"/>
      <c r="J23" s="109">
        <v>45211147</v>
      </c>
      <c r="K23" s="288"/>
      <c r="L23" s="288"/>
      <c r="M23" s="288"/>
      <c r="N23" s="288"/>
      <c r="O23" s="292"/>
      <c r="P23" s="109">
        <v>7603819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121604620</v>
      </c>
      <c r="AT23" s="113">
        <v>199713</v>
      </c>
      <c r="AU23" s="113"/>
      <c r="AV23" s="311"/>
      <c r="AW23" s="318"/>
    </row>
    <row r="24" spans="2:49" ht="28.5" customHeight="1" x14ac:dyDescent="0.2">
      <c r="B24" s="178" t="s">
        <v>114</v>
      </c>
      <c r="C24" s="133"/>
      <c r="D24" s="293"/>
      <c r="E24" s="110">
        <v>54179288.412</v>
      </c>
      <c r="F24" s="110">
        <v>3064909.98</v>
      </c>
      <c r="G24" s="110"/>
      <c r="H24" s="110"/>
      <c r="I24" s="109">
        <v>41000165</v>
      </c>
      <c r="J24" s="293"/>
      <c r="K24" s="110">
        <v>51637399.269999988</v>
      </c>
      <c r="L24" s="110">
        <v>7786628.0999999996</v>
      </c>
      <c r="M24" s="110"/>
      <c r="N24" s="110"/>
      <c r="O24" s="109"/>
      <c r="P24" s="293"/>
      <c r="Q24" s="110">
        <v>10766937.35</v>
      </c>
      <c r="R24" s="110">
        <v>1610443.51</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6659001</v>
      </c>
      <c r="E26" s="288"/>
      <c r="F26" s="288"/>
      <c r="G26" s="288"/>
      <c r="H26" s="288"/>
      <c r="I26" s="292"/>
      <c r="J26" s="109">
        <v>4268057</v>
      </c>
      <c r="K26" s="288"/>
      <c r="L26" s="288"/>
      <c r="M26" s="288"/>
      <c r="N26" s="288"/>
      <c r="O26" s="292"/>
      <c r="P26" s="109">
        <v>1034642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12895601</v>
      </c>
      <c r="AT26" s="113">
        <v>10401</v>
      </c>
      <c r="AU26" s="113"/>
      <c r="AV26" s="311"/>
      <c r="AW26" s="318"/>
    </row>
    <row r="27" spans="2:49" s="5" customFormat="1" ht="25.5" x14ac:dyDescent="0.2">
      <c r="B27" s="178" t="s">
        <v>85</v>
      </c>
      <c r="C27" s="133"/>
      <c r="D27" s="293"/>
      <c r="E27" s="110">
        <v>1877335.2260073165</v>
      </c>
      <c r="F27" s="110">
        <v>54773.281499999997</v>
      </c>
      <c r="G27" s="110"/>
      <c r="H27" s="110"/>
      <c r="I27" s="109">
        <v>1843516</v>
      </c>
      <c r="J27" s="293"/>
      <c r="K27" s="110">
        <v>819546.73204117082</v>
      </c>
      <c r="L27" s="110">
        <v>268400.78869999998</v>
      </c>
      <c r="M27" s="110"/>
      <c r="N27" s="110"/>
      <c r="O27" s="109"/>
      <c r="P27" s="293"/>
      <c r="Q27" s="110">
        <v>163504.26333064961</v>
      </c>
      <c r="R27" s="110">
        <v>50258.654300000009</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1342839</v>
      </c>
      <c r="E28" s="289"/>
      <c r="F28" s="289"/>
      <c r="G28" s="289"/>
      <c r="H28" s="289"/>
      <c r="I28" s="293"/>
      <c r="J28" s="109">
        <v>4108837.9999999995</v>
      </c>
      <c r="K28" s="289"/>
      <c r="L28" s="289"/>
      <c r="M28" s="289"/>
      <c r="N28" s="289"/>
      <c r="O28" s="293"/>
      <c r="P28" s="109">
        <v>1028825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11070531</v>
      </c>
      <c r="AT28" s="113">
        <v>4295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7676</v>
      </c>
      <c r="K30" s="288"/>
      <c r="L30" s="288"/>
      <c r="M30" s="288"/>
      <c r="N30" s="288"/>
      <c r="O30" s="292"/>
      <c r="P30" s="109">
        <v>389</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6984.3899999999994</v>
      </c>
      <c r="L31" s="110"/>
      <c r="M31" s="110"/>
      <c r="N31" s="110"/>
      <c r="O31" s="109"/>
      <c r="P31" s="293"/>
      <c r="Q31" s="110">
        <v>-4712.880000000001</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5793</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5403363</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5403363</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5960132</v>
      </c>
      <c r="E36" s="110">
        <v>5960132</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527211</v>
      </c>
      <c r="E38" s="288"/>
      <c r="F38" s="288"/>
      <c r="G38" s="288"/>
      <c r="H38" s="288"/>
      <c r="I38" s="292"/>
      <c r="J38" s="109"/>
      <c r="K38" s="288"/>
      <c r="L38" s="288"/>
      <c r="M38" s="288"/>
      <c r="N38" s="288"/>
      <c r="O38" s="292"/>
      <c r="P38" s="109">
        <v>-427302</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5748</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-254070</v>
      </c>
      <c r="E41" s="288"/>
      <c r="F41" s="288"/>
      <c r="G41" s="288"/>
      <c r="H41" s="288"/>
      <c r="I41" s="292"/>
      <c r="J41" s="109">
        <v>1247</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-2203878</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891150</v>
      </c>
      <c r="E43" s="289"/>
      <c r="F43" s="289"/>
      <c r="G43" s="289"/>
      <c r="H43" s="289"/>
      <c r="I43" s="293"/>
      <c r="J43" s="109">
        <v>4459</v>
      </c>
      <c r="K43" s="289"/>
      <c r="L43" s="289"/>
      <c r="M43" s="289"/>
      <c r="N43" s="289"/>
      <c r="O43" s="293"/>
      <c r="P43" s="109">
        <v>239571</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-1852482</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191829</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80574</v>
      </c>
      <c r="E49" s="110">
        <v>263649.34999999998</v>
      </c>
      <c r="F49" s="110"/>
      <c r="G49" s="110"/>
      <c r="H49" s="110"/>
      <c r="I49" s="109">
        <v>195025</v>
      </c>
      <c r="J49" s="109">
        <v>176844</v>
      </c>
      <c r="K49" s="110">
        <v>763981.60096298344</v>
      </c>
      <c r="L49" s="110"/>
      <c r="M49" s="110"/>
      <c r="N49" s="110"/>
      <c r="O49" s="109"/>
      <c r="P49" s="109">
        <v>56978</v>
      </c>
      <c r="Q49" s="110">
        <v>196209.39903701589</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1225380</v>
      </c>
      <c r="AT49" s="113"/>
      <c r="AU49" s="113"/>
      <c r="AV49" s="311"/>
      <c r="AW49" s="318"/>
    </row>
    <row r="50" spans="2:49" x14ac:dyDescent="0.2">
      <c r="B50" s="176" t="s">
        <v>119</v>
      </c>
      <c r="C50" s="133" t="s">
        <v>34</v>
      </c>
      <c r="D50" s="109">
        <v>15610</v>
      </c>
      <c r="E50" s="289"/>
      <c r="F50" s="289"/>
      <c r="G50" s="289"/>
      <c r="H50" s="289"/>
      <c r="I50" s="293"/>
      <c r="J50" s="109">
        <v>171037</v>
      </c>
      <c r="K50" s="289"/>
      <c r="L50" s="289"/>
      <c r="M50" s="289"/>
      <c r="N50" s="289"/>
      <c r="O50" s="293"/>
      <c r="P50" s="109">
        <v>33906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528547</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168858</v>
      </c>
      <c r="L53" s="110">
        <v>-389471</v>
      </c>
      <c r="M53" s="110"/>
      <c r="N53" s="110"/>
      <c r="O53" s="109"/>
      <c r="P53" s="109"/>
      <c r="Q53" s="110">
        <v>34795</v>
      </c>
      <c r="R53" s="110">
        <v>-209977</v>
      </c>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47107324</v>
      </c>
      <c r="E54" s="115">
        <f>E24+E27+E31+E35-E36+E39+E42+E45+E46-E49+E51+E52+E53</f>
        <v>55236205.288007319</v>
      </c>
      <c r="F54" s="115">
        <f>F24+F27+F31+F35-F36+F39+F42+F45+F46-F49+F51+F52+F53</f>
        <v>3119683.2615</v>
      </c>
      <c r="G54" s="115">
        <f>G24+G27+G31+G35-G36+G39+G42+G45+G46-G49+G51+G52+G53</f>
        <v>0</v>
      </c>
      <c r="H54" s="115">
        <f>H24+H27+H31+H35-H36+H39+H42+H45+H46-H49+H51+H52+H53</f>
        <v>0</v>
      </c>
      <c r="I54" s="114">
        <f>I24+I27+I31+I35-I36+I39+I42+I45+I46-I49+I51+I52+I53</f>
        <v>42648656</v>
      </c>
      <c r="J54" s="114">
        <f>J23+J26-J28+J30-J32+J34-J36+J38+J41-J43+J45+J46-J47-J49+J50+J51+J52+J53</f>
        <v>45363230</v>
      </c>
      <c r="K54" s="115">
        <f>K24+K27+K31+K35-K36+K39+K42+K45+K46-K49+K51+K52+K53</f>
        <v>51868806.79107818</v>
      </c>
      <c r="L54" s="115">
        <f>L24+L27+L31+L35-L36+L39+L42+L45+L46-L49+L51+L52+L53</f>
        <v>7665557.8887</v>
      </c>
      <c r="M54" s="115">
        <f>M24+M27+M31+M35-M36+M39+M42+M45+M46-M49+M51+M52+M53</f>
        <v>0</v>
      </c>
      <c r="N54" s="115">
        <f>N24+N27+N31+N35-N36+N39+N42+N45+N46-N49+N51+N52+N53</f>
        <v>0</v>
      </c>
      <c r="O54" s="114">
        <f>O24+O27+O31+O35-O36+O39+O42+O45+O46-O49+O51+O52+O53</f>
        <v>0</v>
      </c>
      <c r="P54" s="114">
        <f>P23+P26-P28+P30-P32+P34-P36+P38+P41-P43+P45+P46-P47-P49+P50+P51+P52+P53</f>
        <v>6920080</v>
      </c>
      <c r="Q54" s="115">
        <f>Q24+Q27+Q31+Q35-Q36+Q39+Q42+Q45+Q46-Q49+Q51+Q52+Q53</f>
        <v>10764314.334293632</v>
      </c>
      <c r="R54" s="115">
        <f>R24+R27+R31+R35-R36+R39+R42+R45+R46-R49+R51+R52+R53</f>
        <v>1450725.1643000001</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122579038</v>
      </c>
      <c r="AT54" s="116">
        <f>AT23+AT26-AT28+AT30-AT32+AT34-AT36+AT38+AT41-AT43+AT45+AT46-AT47-AT49+AT50+AT51+AT52+AT53</f>
        <v>205819</v>
      </c>
      <c r="AU54" s="116">
        <f>AU23+AU26-AU28+AU30-AU32+AU34-AU36+AU38+AU41-AU43+AU45+AU46-AU47-AU49+AU50+AU51+AU52+AU53</f>
        <v>0</v>
      </c>
      <c r="AV54" s="311"/>
      <c r="AW54" s="318"/>
    </row>
    <row r="55" spans="2:49" ht="25.5" x14ac:dyDescent="0.2">
      <c r="B55" s="181" t="s">
        <v>304</v>
      </c>
      <c r="C55" s="137" t="s">
        <v>28</v>
      </c>
      <c r="D55" s="114">
        <f t="shared" ref="D55:AC55" si="0">MIN(MAX(0,D56),MAX(0,D57))</f>
        <v>23373</v>
      </c>
      <c r="E55" s="115">
        <f t="shared" si="0"/>
        <v>30926.2</v>
      </c>
      <c r="F55" s="115">
        <f t="shared" si="0"/>
        <v>0</v>
      </c>
      <c r="G55" s="115">
        <f t="shared" si="0"/>
        <v>0</v>
      </c>
      <c r="H55" s="115">
        <f t="shared" si="0"/>
        <v>0</v>
      </c>
      <c r="I55" s="114">
        <f t="shared" si="0"/>
        <v>1979</v>
      </c>
      <c r="J55" s="114">
        <f t="shared" si="0"/>
        <v>57385</v>
      </c>
      <c r="K55" s="115">
        <f t="shared" si="0"/>
        <v>57661.06</v>
      </c>
      <c r="L55" s="115">
        <f t="shared" si="0"/>
        <v>0</v>
      </c>
      <c r="M55" s="115">
        <f t="shared" si="0"/>
        <v>0</v>
      </c>
      <c r="N55" s="115">
        <f t="shared" si="0"/>
        <v>0</v>
      </c>
      <c r="O55" s="114">
        <f t="shared" si="0"/>
        <v>0</v>
      </c>
      <c r="P55" s="114">
        <f t="shared" si="0"/>
        <v>18640</v>
      </c>
      <c r="Q55" s="115">
        <f t="shared" si="0"/>
        <v>18684.77</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65614</v>
      </c>
      <c r="E56" s="110">
        <v>71615.509999999995</v>
      </c>
      <c r="F56" s="110"/>
      <c r="G56" s="110"/>
      <c r="H56" s="110"/>
      <c r="I56" s="109">
        <v>31095</v>
      </c>
      <c r="J56" s="109">
        <v>57385</v>
      </c>
      <c r="K56" s="110">
        <v>57661.06</v>
      </c>
      <c r="L56" s="110"/>
      <c r="M56" s="110"/>
      <c r="N56" s="110"/>
      <c r="O56" s="109"/>
      <c r="P56" s="109">
        <v>18640</v>
      </c>
      <c r="Q56" s="110">
        <v>18684.77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23373</v>
      </c>
      <c r="E57" s="110">
        <v>30926.2</v>
      </c>
      <c r="F57" s="110"/>
      <c r="G57" s="110"/>
      <c r="H57" s="110"/>
      <c r="I57" s="109">
        <v>1979</v>
      </c>
      <c r="J57" s="109">
        <v>195538</v>
      </c>
      <c r="K57" s="110">
        <v>227730.66</v>
      </c>
      <c r="L57" s="110"/>
      <c r="M57" s="110"/>
      <c r="N57" s="110"/>
      <c r="O57" s="109"/>
      <c r="P57" s="109">
        <v>85067</v>
      </c>
      <c r="Q57" s="110">
        <v>99765.22</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887671</v>
      </c>
      <c r="AT57" s="113">
        <v>123</v>
      </c>
      <c r="AU57" s="113"/>
      <c r="AV57" s="113"/>
      <c r="AW57" s="318"/>
    </row>
    <row r="58" spans="2:49" s="5" customFormat="1" x14ac:dyDescent="0.2">
      <c r="B58" s="184" t="s">
        <v>484</v>
      </c>
      <c r="C58" s="185"/>
      <c r="D58" s="186"/>
      <c r="E58" s="187">
        <v>1800764.0000000002</v>
      </c>
      <c r="F58" s="187"/>
      <c r="G58" s="187"/>
      <c r="H58" s="187"/>
      <c r="I58" s="186">
        <v>1800764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10017230.529999997</v>
      </c>
      <c r="D5" s="118">
        <v>15539916.01896969</v>
      </c>
      <c r="E5" s="346"/>
      <c r="F5" s="346"/>
      <c r="G5" s="312"/>
      <c r="H5" s="117">
        <v>41952426.739999995</v>
      </c>
      <c r="I5" s="118">
        <v>47431880.882082149</v>
      </c>
      <c r="J5" s="346"/>
      <c r="K5" s="346"/>
      <c r="L5" s="312"/>
      <c r="M5" s="117">
        <v>13560426.34</v>
      </c>
      <c r="N5" s="118">
        <v>12188121.399148155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10008679.249999998</v>
      </c>
      <c r="D6" s="110">
        <v>15386013.212339532</v>
      </c>
      <c r="E6" s="115">
        <f>SUM('Pt 1 Summary of Data'!E$12,'Pt 1 Summary of Data'!E$22)+SUM('Pt 1 Summary of Data'!G$12,'Pt 1 Summary of Data'!G$22)-SUM('Pt 1 Summary of Data'!H$12,'Pt 1 Summary of Data'!H$22)</f>
        <v>55267131.488007322</v>
      </c>
      <c r="F6" s="115">
        <f t="shared" ref="F6:F11" si="0">SUM(C6:E6)</f>
        <v>80661823.950346857</v>
      </c>
      <c r="G6" s="116">
        <f>SUM('Pt 1 Summary of Data'!I$12,'Pt 1 Summary of Data'!I$22)</f>
        <v>42650635</v>
      </c>
      <c r="H6" s="109">
        <v>42651397.206347242</v>
      </c>
      <c r="I6" s="110">
        <v>46531122.850579306</v>
      </c>
      <c r="J6" s="115">
        <f>SUM('Pt 1 Summary of Data'!K$12,'Pt 1 Summary of Data'!K$22)+SUM('Pt 1 Summary of Data'!M$12,'Pt 1 Summary of Data'!M$22)-SUM('Pt 1 Summary of Data'!N$12,'Pt 1 Summary of Data'!N$22)</f>
        <v>51926467.851078182</v>
      </c>
      <c r="K6" s="115">
        <f>SUM(H6:J6)</f>
        <v>141108987.90800473</v>
      </c>
      <c r="L6" s="116">
        <f>SUM('Pt 1 Summary of Data'!O$12,'Pt 1 Summary of Data'!O$22)</f>
        <v>0</v>
      </c>
      <c r="M6" s="109">
        <v>13128631.003652755</v>
      </c>
      <c r="N6" s="110">
        <v>12208186.636081155</v>
      </c>
      <c r="O6" s="115">
        <f>SUM('Pt 1 Summary of Data'!Q$12,'Pt 1 Summary of Data'!Q$22)+SUM('Pt 1 Summary of Data'!S$12,'Pt 1 Summary of Data'!S$22)-SUM('Pt 1 Summary of Data'!T$12,'Pt 1 Summary of Data'!T$22)</f>
        <v>10782999.104293631</v>
      </c>
      <c r="P6" s="115">
        <f>SUM(M6:O6)</f>
        <v>36119816.74402754</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136902.5</v>
      </c>
      <c r="D7" s="110">
        <v>218814.83999999997</v>
      </c>
      <c r="E7" s="115">
        <f>SUM('Pt 1 Summary of Data'!E$37:E$41)+SUM('Pt 1 Summary of Data'!G$37:G$41)-SUM('Pt 1 Summary of Data'!H$37:H$41)+MAX(0,MIN('Pt 1 Summary of Data'!E$42+'Pt 1 Summary of Data'!G$42-'Pt 1 Summary of Data'!H$42,0.3%*('Pt 1 Summary of Data'!E$5+'Pt 1 Summary of Data'!G$5-'Pt 1 Summary of Data'!H$5-SUM(E$9:E$11))))</f>
        <v>326211.28999999998</v>
      </c>
      <c r="F7" s="115">
        <f t="shared" si="0"/>
        <v>681928.62999999989</v>
      </c>
      <c r="G7" s="116">
        <f>SUM('Pt 1 Summary of Data'!I$37:I$41)+MAX(0,MIN('Pt 1 Summary of Data'!I$42,0.3%*('Pt 1 Summary of Data'!I$5-SUM(G$9:G$10))))</f>
        <v>134986</v>
      </c>
      <c r="H7" s="109">
        <v>756338.75</v>
      </c>
      <c r="I7" s="110">
        <v>974550.72</v>
      </c>
      <c r="J7" s="115">
        <f>SUM('Pt 1 Summary of Data'!K$37:K$41)+SUM('Pt 1 Summary of Data'!M$37:M$41)-SUM('Pt 1 Summary of Data'!N$37:N$41)+MAX(0,MIN('Pt 1 Summary of Data'!K$42+'Pt 1 Summary of Data'!M$42-'Pt 1 Summary of Data'!N$42,0.3%*('Pt 1 Summary of Data'!K$5+'Pt 1 Summary of Data'!M$5-'Pt 1 Summary of Data'!N$5-SUM(J$10:J$11))))</f>
        <v>1254028.8900000001</v>
      </c>
      <c r="K7" s="115">
        <f>SUM(H7:J7)</f>
        <v>2984918.3600000003</v>
      </c>
      <c r="L7" s="116">
        <f>SUM('Pt 1 Summary of Data'!O$37:O$41)+MAX(0,MIN('Pt 1 Summary of Data'!O$42,0.3%*('Pt 1 Summary of Data'!O$5-L$10)))</f>
        <v>0</v>
      </c>
      <c r="M7" s="109">
        <v>316176.44</v>
      </c>
      <c r="N7" s="110">
        <v>291553.25</v>
      </c>
      <c r="O7" s="115">
        <f>SUM('Pt 1 Summary of Data'!Q$37:Q$41)+SUM('Pt 1 Summary of Data'!S$37:S$41)-SUM('Pt 1 Summary of Data'!T$37:T$41)+MAX(0,MIN('Pt 1 Summary of Data'!Q$42+'Pt 1 Summary of Data'!S$42-'Pt 1 Summary of Data'!T$42,0.3%*('Pt 1 Summary of Data'!Q$5+'Pt 1 Summary of Data'!S$5-'Pt 1 Summary of Data'!T$5)))</f>
        <v>222004.15000000002</v>
      </c>
      <c r="P7" s="115">
        <f>SUM(M7:O7)</f>
        <v>829733.84</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v>1800764.0000000002</v>
      </c>
      <c r="F8" s="269">
        <f t="shared" si="0"/>
        <v>1800764.0000000002</v>
      </c>
      <c r="G8" s="270">
        <v>1800764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8822154.9800000004</v>
      </c>
      <c r="F9" s="115">
        <f t="shared" si="0"/>
        <v>8822154.9800000004</v>
      </c>
      <c r="G9" s="116">
        <f>'Pt 2 Premium and Claims'!I$15</f>
        <v>8822155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4731745.9400000004</v>
      </c>
      <c r="F10" s="115">
        <f t="shared" si="0"/>
        <v>4731745.9400000004</v>
      </c>
      <c r="G10" s="116">
        <f>'Pt 2 Premium and Claims'!I$16</f>
        <v>4731746</v>
      </c>
      <c r="H10" s="292"/>
      <c r="I10" s="288"/>
      <c r="J10" s="115">
        <f>'Pt 2 Premium and Claims'!K$16+'Pt 2 Premium and Claims'!M$16-'Pt 2 Premium and Claims'!N$16</f>
        <v>-2841602.51</v>
      </c>
      <c r="K10" s="115">
        <f>SUM(H10:J10)</f>
        <v>-2841602.51</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3183618</v>
      </c>
      <c r="F11" s="115">
        <f t="shared" si="0"/>
        <v>3183618</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10145581.749999998</v>
      </c>
      <c r="D12" s="115">
        <f>SUM(D$6:D$7)+IF(AND(OR('Company Information'!$C$12="District of Columbia",'Company Information'!$C$12="Massachusetts",'Company Information'!$C$12="Vermont"),SUM($C$6:$F$11,$C$15:$F$16,$C$37:$D$37)&lt;&gt;0),SUM(I$6:I$7),0)</f>
        <v>15604828.052339531</v>
      </c>
      <c r="E12" s="115">
        <f>SUM(E$6:E$7)-SUM(E$8:E$11)+IF(AND(OR('Company Information'!$C$12="District of Columbia",'Company Information'!$C$12="Massachusetts",'Company Information'!$C$12="Vermont"),SUM($C$6:$F$11,$C$15:$F$16,$C$37:$D$37)&lt;&gt;0),SUM(J$6:J$7)-SUM(J$10:J$11),0)</f>
        <v>37055059.858007319</v>
      </c>
      <c r="F12" s="115">
        <f>IFERROR(SUM(C$12:E$12)+C$17*MAX(0,E$49-C$49)+D$17*MAX(0,E$49-D$49),0)</f>
        <v>62805469.660346851</v>
      </c>
      <c r="G12" s="311"/>
      <c r="H12" s="114">
        <f>SUM(H$6:H$7)+IF(AND(OR('Company Information'!$C$12="District of Columbia",'Company Information'!$C$12="Massachusetts",'Company Information'!$C$12="Vermont"),SUM($H$6:$K$11,$H$15:$K$16,$H$37:$I$37)&lt;&gt;0),SUM(C$6:C$7),0)</f>
        <v>43407735.956347242</v>
      </c>
      <c r="I12" s="115">
        <f>SUM(I$6:I$7)+IF(AND(OR('Company Information'!$C$12="District of Columbia",'Company Information'!$C$12="Massachusetts",'Company Information'!$C$12="Vermont"),SUM($H$6:$K$11,$H$15:$K$16,$H$37:$I$37)&lt;&gt;0),SUM(D$6:D$7),0)</f>
        <v>47505673.570579305</v>
      </c>
      <c r="J12" s="115">
        <f>SUM(J$6:J$7)-SUM(J$10:J$11)+IF(AND(OR('Company Information'!$C$12="District of Columbia",'Company Information'!$C$12="Massachusetts",'Company Information'!$C$12="Vermont"),SUM($H$6:$K$11,$H$15:$K$16,$H$37:$I$37)&lt;&gt;0),SUM(E$6:E$7)-SUM(E$8:E$11),0)</f>
        <v>56022099.251078181</v>
      </c>
      <c r="K12" s="115">
        <f>IFERROR(SUM(H$12:J$12)+H$17*MAX(0,J$49-H$49)+I$17*MAX(0,J$49-I$49),0)</f>
        <v>146935508.77800474</v>
      </c>
      <c r="L12" s="311"/>
      <c r="M12" s="114">
        <f>SUM(M$6:M$7)</f>
        <v>13444807.443652755</v>
      </c>
      <c r="N12" s="115">
        <f>SUM(N$6:N$7)</f>
        <v>12499739.886081155</v>
      </c>
      <c r="O12" s="115">
        <f>SUM(O$6:O$7)</f>
        <v>11005003.254293632</v>
      </c>
      <c r="P12" s="115">
        <f>SUM(M$12:O$12)+M$17*MAX(0,O$49-M$49)+N$17*MAX(0,O$49-N$49)</f>
        <v>36949550.584027544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13383583.140000001</v>
      </c>
      <c r="D15" s="118">
        <v>22146874.943699814</v>
      </c>
      <c r="E15" s="106">
        <f>SUM('Pt 1 Summary of Data'!E$5:E$7)+SUM('Pt 1 Summary of Data'!G$5:G$7)-SUM('Pt 1 Summary of Data'!H$5:H$7)-SUM(E$9:E$11)+D$55</f>
        <v>47726580.159878679</v>
      </c>
      <c r="F15" s="106">
        <f>SUM(C15:E15)</f>
        <v>83257038.243578494</v>
      </c>
      <c r="G15" s="107">
        <f>SUM('Pt 1 Summary of Data'!I$5:I$7)-SUM(G$9:G$10)</f>
        <v>28798868</v>
      </c>
      <c r="H15" s="117">
        <v>52285128.369999997</v>
      </c>
      <c r="I15" s="118">
        <v>58770118.925014257</v>
      </c>
      <c r="J15" s="106">
        <f>SUM('Pt 1 Summary of Data'!K$5:K$7)+SUM('Pt 1 Summary of Data'!M$5:M$7)-SUM('Pt 1 Summary of Data'!N$5:N$7)-SUM(J$10:J$11)+I$55</f>
        <v>66701865.89639581</v>
      </c>
      <c r="K15" s="106">
        <f>SUM(H15:J15)</f>
        <v>177757113.19141006</v>
      </c>
      <c r="L15" s="107">
        <f>SUM('Pt 1 Summary of Data'!O$5:O$7)-L$10</f>
        <v>0</v>
      </c>
      <c r="M15" s="117">
        <v>17077370.139999997</v>
      </c>
      <c r="N15" s="118">
        <v>15048769.762194291</v>
      </c>
      <c r="O15" s="106">
        <f>SUM('Pt 1 Summary of Data'!Q$5:Q$7)+SUM('Pt 1 Summary of Data'!S$5:S$7)-SUM('Pt 1 Summary of Data'!T$5:T$7)+N$55</f>
        <v>14267867.94885331</v>
      </c>
      <c r="P15" s="106">
        <f>SUM(M15:O15)</f>
        <v>46394007.851047598</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-182067.45000000007</v>
      </c>
      <c r="D16" s="110">
        <v>1058444.8715933887</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3198667.6348095727</v>
      </c>
      <c r="F16" s="115">
        <f>SUM(C16:E16)</f>
        <v>4075045.0564029613</v>
      </c>
      <c r="G16" s="116">
        <f>SUM('Pt 1 Summary of Data'!I$25:I$28,'Pt 1 Summary of Data'!I$30,'Pt 1 Summary of Data'!I$34:I$35)+IF('Company Information'!$C$15="No",IF(MAX('Pt 1 Summary of Data'!I$31:I$32)=0,MIN('Pt 1 Summary of Data'!I$31:I$32),MAX('Pt 1 Summary of Data'!I$31:I$32)),SUM('Pt 1 Summary of Data'!I$31:I$32))</f>
        <v>1755919</v>
      </c>
      <c r="H16" s="109">
        <v>211446.62</v>
      </c>
      <c r="I16" s="110">
        <v>368039.57890617155</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2947057.8253473779</v>
      </c>
      <c r="K16" s="115">
        <f>SUM(H16:J16)</f>
        <v>3526544.0242535495</v>
      </c>
      <c r="L16" s="116">
        <f>SUM('Pt 1 Summary of Data'!O$25:O$28,'Pt 1 Summary of Data'!O$30,'Pt 1 Summary of Data'!O$34:O$35)+IF('Company Information'!$C$15="No",IF(MAX('Pt 1 Summary of Data'!O$31:O$32)=0,MIN('Pt 1 Summary of Data'!O$31:O$32),MAX('Pt 1 Summary of Data'!O$31:O$32)),SUM('Pt 1 Summary of Data'!O$31:O$32))</f>
        <v>0</v>
      </c>
      <c r="M16" s="109">
        <v>113746.64000000001</v>
      </c>
      <c r="N16" s="110">
        <v>457759.06358536636</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549684.24239931512</v>
      </c>
      <c r="P16" s="115">
        <f>SUM(M16:O16)</f>
        <v>1121189.9459846816</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13565650.59</v>
      </c>
      <c r="D17" s="115">
        <f>D$15-D$16+IF(AND(OR('Company Information'!$C$12="District of Columbia",'Company Information'!$C$12="Massachusetts",'Company Information'!$C$12="Vermont"),SUM($C$6:$F$11,$C$15:$F$16,$C$37:$D$37)&lt;&gt;0),I$15-I$16,0)</f>
        <v>21088430.072106425</v>
      </c>
      <c r="E17" s="115">
        <f>E$15-E$16+IF(AND(OR('Company Information'!$C$12="District of Columbia",'Company Information'!$C$12="Massachusetts",'Company Information'!$C$12="Vermont"),SUM($C$6:$F$11,$C$15:$F$16,$C$37:$D$37)&lt;&gt;0),J$15-J$16,0)</f>
        <v>44527912.525069103</v>
      </c>
      <c r="F17" s="115">
        <f>F$15-F$16+IF(AND(OR('Company Information'!$C$12="District of Columbia",'Company Information'!$C$12="Massachusetts",'Company Information'!$C$12="Vermont"),SUM($C$6:$F$11,$C$15:$F$16,$C$37:$D$37)&lt;&gt;0),K$15-K$16,0)</f>
        <v>79181993.187175527</v>
      </c>
      <c r="G17" s="314"/>
      <c r="H17" s="114">
        <f>H$15-H$16+IF(AND(OR('Company Information'!$C$12="District of Columbia",'Company Information'!$C$12="Massachusetts",'Company Information'!$C$12="Vermont"),SUM($H$6:$K$11,$H$15:$K$16,$H$37:$I$37)&lt;&gt;0),C$15-C$16,0)</f>
        <v>52073681.75</v>
      </c>
      <c r="I17" s="115">
        <f>I$15-I$16+IF(AND(OR('Company Information'!$C$12="District of Columbia",'Company Information'!$C$12="Massachusetts",'Company Information'!$C$12="Vermont"),SUM($H$6:$K$11,$H$15:$K$16,$H$37:$I$37)&lt;&gt;0),D$15-D$16,0)</f>
        <v>58402079.346108086</v>
      </c>
      <c r="J17" s="115">
        <f>J$15-J$16+IF(AND(OR('Company Information'!$C$12="District of Columbia",'Company Information'!$C$12="Massachusetts",'Company Information'!$C$12="Vermont"),SUM($H$6:$K$11,$H$15:$K$16,$H$37:$I$37)&lt;&gt;0),E$15-E$16,0)</f>
        <v>63754808.071048431</v>
      </c>
      <c r="K17" s="115">
        <f>K$15-K$16+IF(AND(OR('Company Information'!$C$12="District of Columbia",'Company Information'!$C$12="Massachusetts",'Company Information'!$C$12="Vermont"),SUM($H$6:$K$11,$H$15:$K$16,$H$37:$I$37)&lt;&gt;0),F$15-F$16,0)</f>
        <v>174230569.16715652</v>
      </c>
      <c r="L17" s="314"/>
      <c r="M17" s="114">
        <f>M$15-M$16</f>
        <v>16963623.499999996</v>
      </c>
      <c r="N17" s="115">
        <f>N$15-N$16</f>
        <v>14591010.698608924</v>
      </c>
      <c r="O17" s="115">
        <f>O$15-O$16</f>
        <v>13718183.706453996</v>
      </c>
      <c r="P17" s="115">
        <f>P$15-P$16</f>
        <v>45272817.905062914</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27430956</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3434952</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1.0143478065206573</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3.0800000000000001E-2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1644211.2992</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-3822959</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1644211.2992</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6835082.2992000002</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6835082.2992000002</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7997431.6292000003</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7164508.8000000007</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21963785.700800002</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6835082.2992000002</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21963785.700800002</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1.2489174850672879</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3517149</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3183618</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8027.75</v>
      </c>
      <c r="D37" s="122">
        <v>12053</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17162.416666666668</v>
      </c>
      <c r="F37" s="256">
        <f>SUM(C$37:E$37)+IF(AND(OR('Company Information'!$C$12="District of Columbia",'Company Information'!$C$12="Massachusetts",'Company Information'!$C$12="Vermont"),SUM($C$6:$F$11,$C$15:$F$16,$C$37:$D$37)&lt;&gt;0,SUM(C$37:D$37)&lt;&gt;SUM(H$37:I$37)),SUM(H$37:I$37),0)</f>
        <v>37243.166666666672</v>
      </c>
      <c r="G37" s="312"/>
      <c r="H37" s="121">
        <v>12458.916666666666</v>
      </c>
      <c r="I37" s="122">
        <v>13372</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14487.833333333334</v>
      </c>
      <c r="K37" s="256">
        <f>SUM(H$37:J$37)+IF(AND(OR('Company Information'!$C$12="District of Columbia",'Company Information'!$C$12="Massachusetts",'Company Information'!$C$12="Vermont"),SUM($H$6:$K$11,$H$15:$K$16,$H$37:$I$37)&lt;&gt;0,SUM(H$37:I$37)&lt;&gt;SUM(C$37:D$37)),SUM(C$37:D$37),0)</f>
        <v>40318.75</v>
      </c>
      <c r="L37" s="312"/>
      <c r="M37" s="121">
        <v>4278.916666666667</v>
      </c>
      <c r="N37" s="122">
        <v>3873</v>
      </c>
      <c r="O37" s="256">
        <f>('Pt 1 Summary of Data'!Q$59+'Pt 1 Summary of Data'!S$59-'Pt 1 Summary of Data'!T$59)/12</f>
        <v>3604.8333333333335</v>
      </c>
      <c r="P37" s="256">
        <f>SUM(M$37:O$37)</f>
        <v>11756.75</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1.4041093333333332E-2</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1.3549E-2</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2.4828833333333331E-2</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5208.244009539897</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1.415910699837265</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 ca="1">IF(OR(F$37&lt;1000,F$37&gt;=75000),0,F$38*F$40)</f>
        <v>1.9880934288080354E-2</v>
      </c>
      <c r="G41" s="311"/>
      <c r="H41" s="292"/>
      <c r="I41" s="288"/>
      <c r="J41" s="288"/>
      <c r="K41" s="260">
        <f ca="1">IF(OR(K$37&lt;1000,K$37&gt;=75000),0,K$38*K$40)</f>
        <v>1.3549E-2</v>
      </c>
      <c r="L41" s="311"/>
      <c r="M41" s="292"/>
      <c r="N41" s="288"/>
      <c r="O41" s="288"/>
      <c r="P41" s="260">
        <f ca="1">IF(OR(P$37&lt;1000,P$37&gt;=75000),0,P$38*P$40)</f>
        <v>2.4828833333333331E-2</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0.74788759172957575</v>
      </c>
      <c r="D44" s="260">
        <f>IF(OR(D$37&lt;1000,D$17&lt;=0),"",D$12/D$17)</f>
        <v>0.73997106465407159</v>
      </c>
      <c r="E44" s="260">
        <f>IF(OR(E$37&lt;1000,E$17&lt;=0),"",E$12/E$17)</f>
        <v>0.83217599381388951</v>
      </c>
      <c r="F44" s="260">
        <f>IF(OR(F$37&lt;1000,F$17&lt;=0),"",F$12/F$17)</f>
        <v>0.79317869041112932</v>
      </c>
      <c r="G44" s="311"/>
      <c r="H44" s="262">
        <f>IF(OR(H$37&lt;1000,H$17&lt;=0),"",H$12/H$17)</f>
        <v>0.83358300196139368</v>
      </c>
      <c r="I44" s="260">
        <f>IF(OR(I$37&lt;1000,I$17&lt;=0),"",I$12/I$17)</f>
        <v>0.81342435239414268</v>
      </c>
      <c r="J44" s="260">
        <f>IF(OR(J$37&lt;1000,J$17&lt;=0),"",J$12/J$17)</f>
        <v>0.87871175439265836</v>
      </c>
      <c r="K44" s="260">
        <f>IF(OR(K$37&lt;1000,K$17&lt;=0),"",K$12/K$17)</f>
        <v>0.8433394293571701</v>
      </c>
      <c r="L44" s="311"/>
      <c r="M44" s="262">
        <f>IF(OR(M$37&lt;1000,M$17&lt;=0),"",M$12/M$17)</f>
        <v>0.79256695620795625</v>
      </c>
      <c r="N44" s="260">
        <f>IF(OR(N$37&lt;1000,N$17&lt;=0),"",N$12/N$17)</f>
        <v>0.85667402651365709</v>
      </c>
      <c r="O44" s="260">
        <f>IF(OR(O$37&lt;1000,O$17&lt;=0),"",O$12/O$17)</f>
        <v>0.80222014005513764</v>
      </c>
      <c r="P44" s="260">
        <f>IF(OR(P$37&lt;1000,P$17&lt;=0),"",P$12/P$17)</f>
        <v>0.81615309790326596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f ca="1">IF(F$44="","",F$41)</f>
        <v>1.9880934288080354E-2</v>
      </c>
      <c r="G46" s="311"/>
      <c r="H46" s="292"/>
      <c r="I46" s="288"/>
      <c r="J46" s="288"/>
      <c r="K46" s="260">
        <f ca="1">IF(K$44="","",K$41)</f>
        <v>1.3549E-2</v>
      </c>
      <c r="L46" s="311"/>
      <c r="M46" s="292"/>
      <c r="N46" s="288"/>
      <c r="O46" s="288"/>
      <c r="P46" s="260">
        <f ca="1">IF(P$44="","",P$41)</f>
        <v>2.4828833333333331E-2</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 ca="1">IF(F$44="","",ROUND(F$44+MAX(0,F$46),3))</f>
        <v>0.81299999999999994</v>
      </c>
      <c r="G47" s="311"/>
      <c r="H47" s="292"/>
      <c r="I47" s="288"/>
      <c r="J47" s="288"/>
      <c r="K47" s="260">
        <f ca="1">IF(K$44="","",ROUND(K$44+MAX(0,K$46),3))</f>
        <v>0.85699999999999998</v>
      </c>
      <c r="L47" s="311"/>
      <c r="M47" s="292"/>
      <c r="N47" s="288"/>
      <c r="O47" s="288"/>
      <c r="P47" s="260">
        <f ca="1">IF(P$44="","",ROUND(P$44+MAX(0,P$46),3))</f>
        <v>0.84099999999999997</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2018</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0.81299999999999994</v>
      </c>
      <c r="G50" s="311"/>
      <c r="H50" s="293"/>
      <c r="I50" s="289"/>
      <c r="J50" s="289"/>
      <c r="K50" s="260">
        <f ca="1">K$47</f>
        <v>0.85699999999999998</v>
      </c>
      <c r="L50" s="311"/>
      <c r="M50" s="293"/>
      <c r="N50" s="289"/>
      <c r="O50" s="289"/>
      <c r="P50" s="260">
        <f ca="1">P$47</f>
        <v>0.84099999999999997</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44527912.525069103</v>
      </c>
      <c r="G51" s="311"/>
      <c r="H51" s="292"/>
      <c r="I51" s="288"/>
      <c r="J51" s="288"/>
      <c r="K51" s="115">
        <f>IF(K$37&lt;1000,"",MAX(0,J$15-J$16))</f>
        <v>63754808.071048431</v>
      </c>
      <c r="L51" s="311"/>
      <c r="M51" s="292"/>
      <c r="N51" s="288"/>
      <c r="O51" s="288"/>
      <c r="P51" s="115">
        <f>IF(P$37&lt;1000,"",MAX(0,O$15-O$16))</f>
        <v>13718183.706453996</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 ca="1">IF(OR(F$37&lt;1000,F$17&lt;=0),0,MAX(0,F$49-F$50)*F$51)</f>
        <v>0</v>
      </c>
      <c r="G52" s="311"/>
      <c r="H52" s="292"/>
      <c r="I52" s="288"/>
      <c r="J52" s="288"/>
      <c r="K52" s="115">
        <f ca="1">IF(OR(K$37&lt;1000,K$17&lt;=0),0,MAX(0,K$49-K$50)*K$51)</f>
        <v>0</v>
      </c>
      <c r="L52" s="311"/>
      <c r="M52" s="292"/>
      <c r="N52" s="288"/>
      <c r="O52" s="288"/>
      <c r="P52" s="115">
        <f ca="1">IF(OR(P$37&lt;1000,P$17&lt;=0),0,MAX(0,P$49-P$50)*P$51)</f>
        <v>123463.65335808607</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194169.40059879253</v>
      </c>
      <c r="E55" s="288"/>
      <c r="F55" s="288"/>
      <c r="G55" s="311"/>
      <c r="H55" s="292"/>
      <c r="I55" s="110">
        <v>193101.46622900016</v>
      </c>
      <c r="J55" s="288"/>
      <c r="K55" s="288"/>
      <c r="L55" s="311"/>
      <c r="M55" s="292"/>
      <c r="N55" s="110">
        <v>32211.622470247021</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9228.1731740479681</v>
      </c>
      <c r="E56" s="288"/>
      <c r="F56" s="288"/>
      <c r="G56" s="311"/>
      <c r="H56" s="292"/>
      <c r="I56" s="110">
        <v>1202.2206864536336</v>
      </c>
      <c r="J56" s="288"/>
      <c r="K56" s="288"/>
      <c r="L56" s="311"/>
      <c r="M56" s="292"/>
      <c r="N56" s="110">
        <v>973.48443961545956</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9986</v>
      </c>
      <c r="D4" s="149">
        <f>'Pt 1 Summary of Data'!$K$56+'Pt 1 Summary of Data'!$M$56-'Pt 1 Summary of Data'!$N$56</f>
        <v>9967</v>
      </c>
      <c r="E4" s="149">
        <f>'Pt 1 Summary of Data'!$Q$56+'Pt 1 Summary of Data'!$S$56-'Pt 1 Summary of Data'!$T$56</f>
        <v>2761</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v>86</v>
      </c>
      <c r="F6" s="363"/>
      <c r="G6" s="123"/>
      <c r="H6" s="123"/>
      <c r="I6" s="363"/>
      <c r="J6" s="363"/>
      <c r="K6" s="372"/>
    </row>
    <row r="7" spans="2:11" x14ac:dyDescent="0.2">
      <c r="B7" s="155" t="s">
        <v>102</v>
      </c>
      <c r="C7" s="124"/>
      <c r="D7" s="126"/>
      <c r="E7" s="126">
        <v>52</v>
      </c>
      <c r="F7" s="126"/>
      <c r="G7" s="126"/>
      <c r="H7" s="126"/>
      <c r="I7" s="374"/>
      <c r="J7" s="374"/>
      <c r="K7" s="209"/>
    </row>
    <row r="8" spans="2:11" x14ac:dyDescent="0.2">
      <c r="B8" s="155" t="s">
        <v>103</v>
      </c>
      <c r="C8" s="361"/>
      <c r="D8" s="126"/>
      <c r="E8" s="126">
        <v>1</v>
      </c>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0</v>
      </c>
      <c r="D11" s="119">
        <f ca="1">'Pt 3 MLR and Rebate Calculation'!$K$52</f>
        <v>0</v>
      </c>
      <c r="E11" s="119">
        <f ca="1">'Pt 3 MLR and Rebate Calculation'!$P$52</f>
        <v>123463.65335808607</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v>20.77</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123463.65</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527210.75180266111</v>
      </c>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47079.629999999932</v>
      </c>
      <c r="D22" s="212"/>
      <c r="E22" s="212"/>
      <c r="F22" s="212"/>
      <c r="G22" s="212"/>
      <c r="H22" s="212"/>
      <c r="I22" s="359"/>
      <c r="J22" s="359"/>
      <c r="K22" s="368"/>
    </row>
    <row r="23" spans="2:12" s="5" customFormat="1" ht="100.15" customHeight="1" x14ac:dyDescent="0.2">
      <c r="B23" s="102" t="s">
        <v>212</v>
      </c>
      <c r="C23" s="381" t="s">
        <v>506</v>
      </c>
      <c r="D23" s="382"/>
      <c r="E23" s="382"/>
      <c r="F23" s="382"/>
      <c r="G23" s="382"/>
      <c r="H23" s="382"/>
      <c r="I23" s="382"/>
      <c r="J23" s="382"/>
      <c r="K23" s="383"/>
    </row>
    <row r="24" spans="2:12" s="5" customFormat="1" ht="100.15" customHeight="1" x14ac:dyDescent="0.2">
      <c r="B24" s="101" t="s">
        <v>213</v>
      </c>
      <c r="C24" s="384" t="s">
        <v>507</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2015-07-23T00:45:38Z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