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7" i="10" s="1"/>
  <c r="AB50" i="10" s="1"/>
  <c r="AA45" i="10"/>
  <c r="Z45" i="10"/>
  <c r="Y45" i="10"/>
  <c r="X45" i="10"/>
  <c r="X47" i="10" s="1"/>
  <c r="X50" i="10" s="1"/>
  <c r="W45" i="10"/>
  <c r="V45" i="10"/>
  <c r="U45" i="10"/>
  <c r="T45" i="10"/>
  <c r="T47" i="10" s="1"/>
  <c r="T50" i="10" s="1"/>
  <c r="S45" i="10"/>
  <c r="R45" i="10"/>
  <c r="Q45" i="10"/>
  <c r="N44" i="10"/>
  <c r="M44" i="10"/>
  <c r="AN41" i="10"/>
  <c r="AB41" i="10"/>
  <c r="X41" i="10"/>
  <c r="T41" i="10"/>
  <c r="P41" i="10"/>
  <c r="AN40" i="10"/>
  <c r="AB40" i="10"/>
  <c r="X40" i="10"/>
  <c r="T40" i="10"/>
  <c r="P40" i="10"/>
  <c r="K40" i="10"/>
  <c r="F40" i="10"/>
  <c r="AN38" i="10"/>
  <c r="AB38" i="10"/>
  <c r="X38" i="10"/>
  <c r="T38" i="10"/>
  <c r="AN37" i="10"/>
  <c r="AM37" i="10"/>
  <c r="AN6" i="10" s="1"/>
  <c r="AB37" i="10"/>
  <c r="AA37" i="10"/>
  <c r="X37" i="10"/>
  <c r="W37" i="10"/>
  <c r="T37" i="10"/>
  <c r="S37" i="10"/>
  <c r="P37" i="10"/>
  <c r="O37" i="10"/>
  <c r="AM17" i="10"/>
  <c r="AL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P16" i="10"/>
  <c r="O16" i="10"/>
  <c r="L16" i="10"/>
  <c r="K16" i="10"/>
  <c r="J16" i="10"/>
  <c r="G16" i="10"/>
  <c r="F16" i="10"/>
  <c r="E16" i="10"/>
  <c r="AN15" i="10"/>
  <c r="AN17" i="10" s="1"/>
  <c r="AM15" i="10"/>
  <c r="AB15" i="10"/>
  <c r="AA15" i="10"/>
  <c r="X15" i="10"/>
  <c r="W15" i="10"/>
  <c r="W13" i="10" s="1"/>
  <c r="T15" i="10"/>
  <c r="S15" i="10"/>
  <c r="P15" i="10"/>
  <c r="O15" i="10"/>
  <c r="L15" i="10"/>
  <c r="AN13" i="10"/>
  <c r="AM13" i="10"/>
  <c r="AL13" i="10"/>
  <c r="AB13" i="10"/>
  <c r="AA13" i="10"/>
  <c r="Z13" i="10"/>
  <c r="Y13" i="10"/>
  <c r="U13" i="10"/>
  <c r="S13" i="10"/>
  <c r="N12" i="10"/>
  <c r="M12" i="10"/>
  <c r="K11" i="10"/>
  <c r="J11" i="10"/>
  <c r="F11" i="10"/>
  <c r="E11" i="10"/>
  <c r="L10" i="10"/>
  <c r="K10" i="10"/>
  <c r="J10" i="10"/>
  <c r="G10" i="10"/>
  <c r="F10" i="10"/>
  <c r="E10" i="10"/>
  <c r="G9" i="10"/>
  <c r="F9" i="10"/>
  <c r="E9" i="10"/>
  <c r="F8" i="10"/>
  <c r="AN7" i="10"/>
  <c r="AM7" i="10"/>
  <c r="AB7" i="10"/>
  <c r="AA7" i="10"/>
  <c r="X7" i="10"/>
  <c r="W7" i="10"/>
  <c r="T7" i="10"/>
  <c r="S7" i="10"/>
  <c r="P7" i="10"/>
  <c r="O7" i="10"/>
  <c r="L7" i="10"/>
  <c r="AM6" i="10"/>
  <c r="AB6" i="10"/>
  <c r="AA6" i="10"/>
  <c r="X6" i="10"/>
  <c r="W6" i="10"/>
  <c r="T6" i="10"/>
  <c r="S6" i="10"/>
  <c r="L6" i="10"/>
  <c r="L29" i="10" s="1"/>
  <c r="G6" i="10"/>
  <c r="AU55" i="18"/>
  <c r="AU22" i="4" s="1"/>
  <c r="AT55" i="18"/>
  <c r="AT22" i="4" s="1"/>
  <c r="AS55" i="18"/>
  <c r="AR55" i="18"/>
  <c r="AQ55" i="18"/>
  <c r="AQ22" i="4" s="1"/>
  <c r="AP55" i="18"/>
  <c r="AP22" i="4" s="1"/>
  <c r="AO55" i="18"/>
  <c r="AO22" i="4" s="1"/>
  <c r="AN55" i="18"/>
  <c r="AC55" i="18"/>
  <c r="AC22" i="4" s="1"/>
  <c r="AB55" i="18"/>
  <c r="AB22" i="4" s="1"/>
  <c r="AA55" i="18"/>
  <c r="AA22" i="4" s="1"/>
  <c r="Z55" i="18"/>
  <c r="Y55" i="18"/>
  <c r="X55" i="18"/>
  <c r="W55" i="18"/>
  <c r="W22" i="4" s="1"/>
  <c r="V55" i="18"/>
  <c r="U55" i="18"/>
  <c r="T22" i="4"/>
  <c r="R22" i="4"/>
  <c r="P22" i="4"/>
  <c r="O22" i="4"/>
  <c r="N22" i="4"/>
  <c r="K22" i="4"/>
  <c r="J6" i="10" s="1"/>
  <c r="K6" i="10" s="1"/>
  <c r="I22" i="4"/>
  <c r="G22" i="4"/>
  <c r="F22" i="4"/>
  <c r="E22" i="4"/>
  <c r="E6" i="10" s="1"/>
  <c r="F6" i="10" s="1"/>
  <c r="D22" i="4"/>
  <c r="AU54" i="18"/>
  <c r="AT54" i="18"/>
  <c r="AT12" i="4" s="1"/>
  <c r="AS54" i="18"/>
  <c r="AS12" i="4" s="1"/>
  <c r="AR54" i="18"/>
  <c r="AQ54" i="18"/>
  <c r="AQ12" i="4" s="1"/>
  <c r="AP54" i="18"/>
  <c r="AP12" i="4" s="1"/>
  <c r="AO54" i="18"/>
  <c r="AO12" i="4" s="1"/>
  <c r="AN54" i="18"/>
  <c r="AN12" i="4" s="1"/>
  <c r="AC54" i="18"/>
  <c r="AC12" i="4" s="1"/>
  <c r="AB54" i="18"/>
  <c r="AA54" i="18"/>
  <c r="Z54" i="18"/>
  <c r="Z12" i="4" s="1"/>
  <c r="Y54" i="18"/>
  <c r="X54" i="18"/>
  <c r="X12" i="4" s="1"/>
  <c r="W54" i="18"/>
  <c r="W12" i="4" s="1"/>
  <c r="V54" i="18"/>
  <c r="V12" i="4" s="1"/>
  <c r="U54" i="18"/>
  <c r="T54" i="18"/>
  <c r="T12" i="4" s="1"/>
  <c r="S54" i="18"/>
  <c r="S12" i="4" s="1"/>
  <c r="R54" i="18"/>
  <c r="R12" i="4" s="1"/>
  <c r="Q54" i="18"/>
  <c r="P54" i="18"/>
  <c r="P12" i="4" s="1"/>
  <c r="O54" i="18"/>
  <c r="N54" i="18"/>
  <c r="N12" i="4" s="1"/>
  <c r="M54" i="18"/>
  <c r="L54" i="18"/>
  <c r="L12" i="4" s="1"/>
  <c r="K54" i="18"/>
  <c r="K12" i="4" s="1"/>
  <c r="J54" i="18"/>
  <c r="I54" i="18"/>
  <c r="I12" i="4" s="1"/>
  <c r="H54" i="18"/>
  <c r="H12" i="4" s="1"/>
  <c r="G54" i="18"/>
  <c r="G12" i="4" s="1"/>
  <c r="F54" i="18"/>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R22" i="4"/>
  <c r="AN22" i="4"/>
  <c r="Z22" i="4"/>
  <c r="Y22" i="4"/>
  <c r="X22" i="4"/>
  <c r="V22" i="4"/>
  <c r="U22" i="4"/>
  <c r="S22" i="4"/>
  <c r="Q22" i="4"/>
  <c r="O6" i="10" s="1"/>
  <c r="M22" i="4"/>
  <c r="L22" i="4"/>
  <c r="J22" i="4"/>
  <c r="H22" i="4"/>
  <c r="AU12" i="4"/>
  <c r="AR12" i="4"/>
  <c r="AB12" i="4"/>
  <c r="AA12" i="4"/>
  <c r="Y12" i="4"/>
  <c r="U12" i="4"/>
  <c r="Q12" i="4"/>
  <c r="O12" i="4"/>
  <c r="M12" i="4"/>
  <c r="J12" i="4"/>
  <c r="F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7" i="10" s="1"/>
  <c r="H5" i="4"/>
  <c r="G5" i="4"/>
  <c r="F5" i="4"/>
  <c r="E5" i="4"/>
  <c r="E15" i="10" s="1"/>
  <c r="D5" i="4"/>
  <c r="J7" i="10" l="1"/>
  <c r="G15" i="10"/>
  <c r="P6" i="10"/>
  <c r="O12" i="10"/>
  <c r="L21" i="10"/>
  <c r="L25" i="10"/>
  <c r="L19" i="10"/>
  <c r="L28" i="10"/>
  <c r="L20" i="10"/>
  <c r="G28" i="10"/>
  <c r="K7" i="10"/>
  <c r="F15" i="10"/>
  <c r="G25" i="10"/>
  <c r="G20" i="10"/>
  <c r="J15" i="10"/>
  <c r="E7" i="10"/>
  <c r="G19" i="10"/>
  <c r="G21" i="10"/>
  <c r="G29" i="10"/>
  <c r="AB46" i="10"/>
  <c r="T46" i="10"/>
  <c r="X46" i="10"/>
  <c r="X13" i="10"/>
  <c r="T13" i="10"/>
  <c r="Q13" i="10"/>
  <c r="R13" i="10"/>
  <c r="G24" i="10" l="1"/>
  <c r="G23" i="10" s="1"/>
  <c r="G27" i="10" s="1"/>
  <c r="P12" i="10"/>
  <c r="P44" i="10" s="1"/>
  <c r="P46" i="10" s="1"/>
  <c r="P47" i="10" s="1"/>
  <c r="P50" i="10" s="1"/>
  <c r="E11" i="16" s="1"/>
  <c r="O44" i="10"/>
  <c r="P38" i="10" s="1"/>
  <c r="L24" i="10"/>
  <c r="L23" i="10" s="1"/>
  <c r="L27" i="10" s="1"/>
  <c r="L26" i="10" s="1"/>
  <c r="L30" i="10" s="1"/>
  <c r="I17" i="10"/>
  <c r="K15" i="10"/>
  <c r="K17" i="10" s="1"/>
  <c r="J12" i="10"/>
  <c r="I12" i="10"/>
  <c r="F7" i="10"/>
  <c r="D17" i="10" s="1"/>
  <c r="E37" i="10"/>
  <c r="E12" i="10"/>
  <c r="E17" i="10"/>
  <c r="H12" i="10"/>
  <c r="F17" i="10"/>
  <c r="C12" i="10"/>
  <c r="J37" i="10"/>
  <c r="G31" i="10"/>
  <c r="G32" i="10" s="1"/>
  <c r="G33" i="10" s="1"/>
  <c r="G26" i="10"/>
  <c r="G30" i="10" s="1"/>
  <c r="L31" i="10"/>
  <c r="L32" i="10" s="1"/>
  <c r="L33" i="10" s="1"/>
  <c r="C17" i="10" l="1"/>
  <c r="C44" i="10" s="1"/>
  <c r="H17" i="10"/>
  <c r="H44" i="10" s="1"/>
  <c r="D12" i="10"/>
  <c r="D44" i="10" s="1"/>
  <c r="J17" i="10"/>
  <c r="J44" i="10" s="1"/>
  <c r="K37" i="10"/>
  <c r="E44" i="10"/>
  <c r="F37" i="10"/>
  <c r="I44" i="10"/>
  <c r="F41" i="10" l="1"/>
  <c r="F38" i="10"/>
  <c r="F51" i="10"/>
  <c r="F12" i="10"/>
  <c r="F44" i="10" s="1"/>
  <c r="K38" i="10"/>
  <c r="K41" i="10"/>
  <c r="K51" i="10"/>
  <c r="K12" i="10"/>
  <c r="K44" i="10" s="1"/>
  <c r="F46" i="10" l="1"/>
  <c r="F47" i="10"/>
  <c r="F50" i="10" s="1"/>
  <c r="F52" i="10" s="1"/>
  <c r="C11" i="16" s="1"/>
  <c r="K46" i="10"/>
  <c r="K47" i="10" s="1"/>
  <c r="K50" i="10" s="1"/>
  <c r="D11" i="16" s="1"/>
</calcChain>
</file>

<file path=xl/sharedStrings.xml><?xml version="1.0" encoding="utf-8"?>
<sst xmlns="http://schemas.openxmlformats.org/spreadsheetml/2006/main" count="636" uniqueCount="536">
  <si>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</si>
  <si>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</si>
  <si>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</si>
  <si>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</si>
  <si>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</si>
  <si>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</si>
  <si>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</si>
  <si>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</si>
  <si>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</si>
  <si>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</si>
  <si>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</si>
  <si>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</si>
  <si>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</si>
  <si>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</si>
  <si>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</si>
  <si>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</si>
  <si>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</si>
  <si>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</si>
  <si>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</si>
  <si>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</si>
  <si>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</si>
  <si>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</si>
  <si>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</si>
  <si>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</si>
  <si>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</si>
  <si>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</si>
  <si>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</si>
  <si>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</si>
  <si>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</si>
  <si>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</si>
  <si>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</si>
  <si>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</si>
  <si>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</si>
  <si>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</si>
  <si>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</si>
  <si>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</si>
  <si>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</si>
  <si>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</si>
  <si>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</si>
  <si>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</si>
  <si>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</si>
  <si>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</si>
  <si>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</si>
  <si>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</si>
  <si>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</si>
  <si>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</si>
  <si>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</si>
  <si>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</si>
  <si>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</si>
  <si>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</si>
  <si>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</si>
  <si>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</si>
  <si>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</si>
  <si>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</si>
  <si>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</si>
  <si>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</si>
  <si>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</si>
  <si>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</si>
  <si>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</si>
  <si>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</si>
  <si>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</si>
  <si>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</si>
  <si>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</si>
  <si>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</si>
  <si>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</si>
  <si>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</si>
  <si>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</si>
  <si>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</si>
  <si>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</si>
  <si>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</si>
  <si>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</si>
  <si>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</si>
  <si>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</si>
  <si>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</si>
  <si>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</si>
  <si>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</si>
  <si>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</si>
  <si>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</si>
  <si>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</si>
  <si>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</si>
  <si>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</si>
  <si>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</si>
  <si>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</si>
  <si>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</si>
  <si>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</si>
  <si>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</si>
  <si>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</si>
  <si>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</si>
  <si>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</si>
  <si>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</si>
  <si>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</si>
  <si>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</si>
  <si>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</si>
  <si>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</si>
  <si>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</si>
  <si>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</si>
  <si>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</si>
  <si>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</si>
  <si>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</si>
  <si>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</si>
  <si>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</si>
  <si>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</si>
  <si>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</si>
  <si>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</si>
  <si>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</si>
  <si>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</si>
  <si>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</si>
  <si>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</si>
  <si>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</si>
  <si>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</si>
  <si>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</si>
  <si>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</si>
  <si>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</si>
  <si>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</si>
  <si>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</si>
  <si>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</si>
  <si>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</si>
  <si>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</si>
  <si>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</si>
  <si>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</si>
  <si>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</si>
  <si>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</si>
  <si>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</si>
  <si>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</si>
  <si>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</si>
  <si>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</si>
  <si>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</si>
  <si>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</si>
  <si>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</si>
  <si>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</si>
  <si>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</si>
  <si>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</si>
  <si>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</si>
  <si>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</si>
  <si>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</si>
  <si>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</si>
  <si>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</si>
  <si>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</si>
  <si>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</si>
  <si>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</si>
  <si>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</si>
  <si>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</si>
  <si>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</si>
  <si>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</si>
  <si>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</si>
  <si>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</si>
  <si>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</si>
  <si>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</si>
  <si>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</si>
  <si>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</si>
  <si>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</si>
  <si>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</si>
  <si>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</si>
  <si>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</si>
  <si>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</si>
  <si>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</si>
  <si>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</si>
  <si>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</si>
  <si>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</si>
  <si>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</si>
  <si>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</si>
  <si>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</si>
  <si>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</si>
  <si>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</si>
  <si>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</si>
  <si>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</si>
  <si>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</si>
  <si>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</si>
  <si>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</si>
  <si>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</si>
  <si>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</si>
  <si>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</si>
  <si>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</si>
  <si>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</si>
  <si>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</si>
  <si>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</si>
  <si>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</si>
  <si>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</si>
  <si>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</si>
  <si>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</si>
  <si>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</si>
  <si>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</si>
  <si>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</si>
  <si>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</si>
  <si>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</si>
  <si>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</si>
  <si>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</si>
  <si>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</si>
  <si>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</si>
  <si>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</si>
  <si>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</si>
  <si>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</si>
  <si>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</si>
  <si>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</si>
  <si>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</si>
  <si>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</si>
  <si>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</si>
  <si>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</si>
  <si>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</si>
  <si>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</si>
  <si>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</si>
  <si>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</si>
  <si>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</si>
  <si>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</si>
  <si>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</si>
  <si>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</si>
  <si>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</si>
  <si>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</si>
  <si>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</si>
  <si>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</si>
  <si>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</si>
  <si>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</si>
  <si>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</si>
  <si>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</si>
  <si>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</si>
  <si>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</si>
  <si>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</si>
  <si>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</si>
  <si>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</si>
  <si>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</si>
  <si>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</si>
  <si>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</si>
  <si>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</si>
  <si>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</si>
  <si>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</si>
  <si>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</si>
  <si>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</si>
  <si>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</si>
  <si>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</si>
  <si>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</si>
  <si>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</si>
  <si>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</si>
  <si>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</si>
  <si>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</si>
  <si>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</si>
  <si>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</si>
  <si>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</si>
  <si>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</si>
  <si>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</si>
  <si>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</si>
  <si>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</si>
  <si>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</si>
  <si>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</si>
  <si>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</si>
  <si>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</si>
  <si>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</si>
  <si>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</si>
  <si>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</si>
  <si>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</si>
  <si>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</si>
  <si>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</si>
  <si>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</si>
  <si>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</si>
  <si>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</si>
  <si>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</si>
  <si>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</si>
  <si>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</si>
  <si>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</si>
  <si>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</si>
  <si>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</si>
  <si>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</si>
  <si>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</si>
  <si>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</si>
  <si>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</si>
  <si>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</si>
  <si>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</si>
  <si>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</si>
  <si>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</si>
  <si>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</si>
  <si>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</si>
  <si>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</si>
  <si>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</si>
  <si>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</si>
  <si>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</si>
  <si>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</si>
  <si>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</si>
  <si>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</si>
  <si>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</si>
  <si>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</si>
  <si>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</si>
  <si>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</si>
  <si>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</si>
  <si>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</si>
  <si>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</si>
  <si>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</si>
  <si>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</si>
  <si>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</si>
  <si>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</si>
  <si>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</si>
  <si>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</si>
  <si>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</si>
  <si>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</si>
  <si>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</si>
  <si>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</si>
  <si>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</si>
  <si>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</si>
  <si>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</si>
  <si>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</si>
  <si>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</si>
  <si>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</si>
  <si>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</si>
  <si>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</si>
  <si>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</si>
  <si>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</si>
  <si>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</si>
  <si>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</si>
  <si>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</si>
  <si>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</si>
  <si>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</si>
  <si>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</si>
  <si>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</si>
  <si>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</si>
  <si>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</si>
  <si>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</si>
  <si>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</si>
  <si>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</si>
  <si>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</si>
  <si>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</si>
  <si>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</si>
  <si>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</si>
  <si>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</si>
  <si>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</si>
  <si>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</si>
  <si>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</si>
  <si>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</si>
  <si>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</si>
  <si>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</si>
  <si>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</si>
  <si>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</si>
  <si>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</si>
  <si>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</si>
  <si>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</si>
  <si>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</si>
  <si>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</si>
  <si>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</si>
  <si>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</si>
  <si>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</si>
  <si>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</si>
  <si>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</si>
  <si>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</si>
  <si>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</si>
  <si>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</si>
  <si>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</si>
  <si>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</si>
  <si>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</si>
  <si>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</si>
  <si>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</si>
  <si>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</si>
  <si>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</si>
  <si>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</si>
  <si>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</si>
  <si>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</si>
  <si>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</si>
  <si>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</si>
  <si>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</si>
  <si>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</si>
  <si>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</si>
  <si>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</si>
  <si>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</si>
  <si>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</si>
  <si>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</si>
  <si>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</si>
  <si>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</si>
  <si>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</si>
  <si>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</si>
  <si>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</si>
  <si>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</si>
  <si>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</si>
  <si>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</si>
  <si>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</si>
  <si>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</si>
  <si>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</si>
  <si>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</si>
  <si>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</si>
  <si>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</si>
  <si>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</si>
  <si>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</si>
  <si>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</si>
  <si>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</si>
  <si>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</si>
  <si>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</si>
  <si>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</si>
  <si>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</si>
  <si>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</si>
  <si>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</si>
  <si>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</si>
  <si>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</si>
  <si>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</si>
  <si>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</si>
  <si>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</si>
  <si>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</si>
  <si>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</si>
  <si>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</si>
  <si>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</si>
  <si>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</si>
  <si>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</si>
  <si>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</si>
  <si>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</si>
  <si>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</si>
  <si>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</si>
  <si>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</si>
  <si>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</si>
  <si>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</si>
  <si>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</si>
  <si>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</si>
  <si>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</si>
  <si>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</si>
  <si>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</si>
  <si>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</si>
  <si>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</si>
  <si>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</si>
  <si>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</si>
  <si>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</si>
  <si>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</si>
  <si>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</si>
  <si>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</si>
  <si>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</si>
  <si>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</si>
  <si>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</si>
  <si>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</si>
  <si>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</si>
  <si>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</si>
  <si>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</si>
  <si>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</si>
  <si>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</si>
  <si>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</si>
  <si>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</si>
  <si>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</si>
  <si>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</si>
  <si>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</si>
  <si>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</si>
  <si>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</si>
  <si>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</si>
  <si>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</si>
  <si>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</si>
  <si>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</si>
  <si>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</si>
  <si>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</si>
  <si>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</si>
  <si>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</si>
  <si>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</si>
  <si>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</si>
  <si>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</si>
  <si>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</si>
  <si>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</si>
  <si>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</si>
  <si>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</si>
  <si>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</si>
  <si>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</si>
  <si>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</si>
  <si>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</si>
  <si>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</si>
  <si>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</si>
  <si>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</si>
  <si>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</si>
  <si>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</si>
  <si>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</si>
  <si>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</si>
  <si>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</si>
  <si>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</si>
  <si>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</si>
  <si>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</si>
  <si>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</si>
  <si>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</si>
  <si>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</si>
  <si>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</si>
  <si>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</si>
  <si>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</si>
  <si>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</si>
  <si>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</si>
  <si>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</si>
  <si>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</si>
  <si>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</si>
  <si>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</si>
  <si>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</si>
  <si>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</si>
  <si>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</si>
  <si>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</si>
  <si>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</si>
  <si>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</si>
  <si>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</si>
  <si>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</si>
  <si>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</si>
  <si>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</si>
  <si>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</si>
  <si>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</si>
  <si>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</si>
  <si>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</si>
  <si>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</si>
  <si>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</si>
  <si>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</si>
  <si>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</si>
  <si>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</si>
  <si>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</si>
  <si>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</si>
  <si>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</si>
  <si>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</si>
  <si>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</si>
  <si>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</si>
  <si>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</si>
  <si>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</si>
  <si>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</si>
  <si>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</si>
  <si>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215</t>
  </si>
  <si>
    <t>Humana Insurance Company</t>
  </si>
  <si>
    <t>Humana Employers Health Plan of Georgia, Inc.</t>
  </si>
  <si>
    <t>Humana Health Insurance Company of Florida, Inc.</t>
  </si>
  <si>
    <t>Humana Health Plan of Ohio, Inc.</t>
  </si>
  <si>
    <t>Humana Health Plan of Texas, Inc.</t>
  </si>
  <si>
    <t>Humana Insurance Company of Kentucky</t>
  </si>
  <si>
    <t>Humana Insurance of Puerto Rico, Inc.</t>
  </si>
  <si>
    <t>Humana Medical Plan,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</si>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</sst>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6"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124581967</v>
      </c>
      <c r="E5" s="106">
        <f>SUM('Pt 2 Premium and Claims'!E$5,'Pt 2 Premium and Claims'!E$6,-'Pt 2 Premium and Claims'!E$7,-'Pt 2 Premium and Claims'!E$13,'Pt 2 Premium and Claims'!E$14:'Pt 2 Premium and Claims'!E$17)</f>
        <v>161598367.60462716</v>
      </c>
      <c r="F5" s="106">
        <f>SUM('Pt 2 Premium and Claims'!F$5,'Pt 2 Premium and Claims'!F$6,-'Pt 2 Premium and Claims'!F$7,-'Pt 2 Premium and Claims'!F$13,'Pt 2 Premium and Claims'!F$14:'Pt 2 Premium and Claims'!F$17)</f>
        <v>2925870.24</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99638230</v>
      </c>
      <c r="J5" s="105">
        <f>SUM('Pt 2 Premium and Claims'!J$5,'Pt 2 Premium and Claims'!J$6,-'Pt 2 Premium and Claims'!J$7,-'Pt 2 Premium and Claims'!J$13,'Pt 2 Premium and Claims'!J$14,'Pt 2 Premium and Claims'!J$16:'Pt 2 Premium and Claims'!J$17)</f>
        <v>339385711</v>
      </c>
      <c r="K5" s="106">
        <f>SUM('Pt 2 Premium and Claims'!K$5,'Pt 2 Premium and Claims'!K$6,-'Pt 2 Premium and Claims'!K$7,-'Pt 2 Premium and Claims'!K$13,'Pt 2 Premium and Claims'!K$14,'Pt 2 Premium and Claims'!K$16:'Pt 2 Premium and Claims'!K$17)</f>
        <v>346513280.05369711</v>
      </c>
      <c r="L5" s="106">
        <f>SUM('Pt 2 Premium and Claims'!L$5,'Pt 2 Premium and Claims'!L$6,-'Pt 2 Premium and Claims'!L$7,-'Pt 2 Premium and Claims'!L$13,'Pt 2 Premium and Claims'!L$14,'Pt 2 Premium and Claims'!L$16:'Pt 2 Premium and Claims'!L$17)</f>
        <v>28356192.339999996</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488553591</v>
      </c>
      <c r="Q5" s="106">
        <f>SUM('Pt 2 Premium and Claims'!Q$5,'Pt 2 Premium and Claims'!Q$6,-'Pt 2 Premium and Claims'!Q$7,-'Pt 2 Premium and Claims'!Q$13,'Pt 2 Premium and Claims'!Q$14)</f>
        <v>528307807.70547271</v>
      </c>
      <c r="R5" s="106">
        <f>SUM('Pt 2 Premium and Claims'!R$5,'Pt 2 Premium and Claims'!R$6,-'Pt 2 Premium and Claims'!R$7,-'Pt 2 Premium and Claims'!R$13,'Pt 2 Premium and Claims'!R$14)</f>
        <v>20106806.709999997</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4481865752</v>
      </c>
      <c r="AT5" s="107">
        <f>SUM('Pt 2 Premium and Claims'!AT$5,'Pt 2 Premium and Claims'!AT$6,-'Pt 2 Premium and Claims'!AT$7,-'Pt 2 Premium and Claims'!AT$13,'Pt 2 Premium and Claims'!AT$14)</f>
        <v>9555495</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-32038</v>
      </c>
      <c r="E7" s="110">
        <v>-38303.190720102146</v>
      </c>
      <c r="F7" s="110">
        <v>-6265.190720102144</v>
      </c>
      <c r="G7" s="110"/>
      <c r="H7" s="110"/>
      <c r="I7" s="109"/>
      <c r="J7" s="109">
        <v>-998072</v>
      </c>
      <c r="K7" s="110">
        <v>-1033672.3530177232</v>
      </c>
      <c r="L7" s="110">
        <v>-35600.353017723239</v>
      </c>
      <c r="M7" s="110"/>
      <c r="N7" s="110"/>
      <c r="O7" s="109"/>
      <c r="P7" s="109">
        <v>-1335951</v>
      </c>
      <c r="Q7" s="110">
        <v>-1376408.3243095325</v>
      </c>
      <c r="R7" s="110">
        <v>-40457.324309532451</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v>
      </c>
      <c r="AU7" s="113"/>
      <c r="AV7" s="311"/>
      <c r="AW7" s="318"/>
    </row>
    <row r="8" spans="1:49" ht="25.5" x14ac:dyDescent="0.2">
      <c r="B8" s="155" t="s">
        <v>225</v>
      </c>
      <c r="C8" s="62" t="s">
        <v>59</v>
      </c>
      <c r="D8" s="109">
        <v>-1198286</v>
      </c>
      <c r="E8" s="289"/>
      <c r="F8" s="290"/>
      <c r="G8" s="290"/>
      <c r="H8" s="290"/>
      <c r="I8" s="293"/>
      <c r="J8" s="109">
        <v>-693243</v>
      </c>
      <c r="K8" s="289"/>
      <c r="L8" s="290"/>
      <c r="M8" s="290"/>
      <c r="N8" s="290"/>
      <c r="O8" s="293"/>
      <c r="P8" s="109">
        <v>-689958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-467485701</v>
      </c>
      <c r="AT8" s="113">
        <v>-707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127171775</v>
      </c>
      <c r="E12" s="106">
        <f>'Pt 2 Premium and Claims'!E$54</f>
        <v>143457053.71125755</v>
      </c>
      <c r="F12" s="106">
        <f>'Pt 2 Premium and Claims'!F$54</f>
        <v>3119683.2615</v>
      </c>
      <c r="G12" s="106">
        <f>'Pt 2 Premium and Claims'!G$54</f>
        <v>0</v>
      </c>
      <c r="H12" s="106">
        <f>'Pt 2 Premium and Claims'!H$54</f>
        <v>0</v>
      </c>
      <c r="I12" s="105">
        <f>'Pt 2 Premium and Claims'!I$54</f>
        <v>109011809.14999999</v>
      </c>
      <c r="J12" s="105">
        <f>'Pt 2 Premium and Claims'!J$54</f>
        <v>273415826</v>
      </c>
      <c r="K12" s="106">
        <f>'Pt 2 Premium and Claims'!K$54</f>
        <v>283285150.30498099</v>
      </c>
      <c r="L12" s="106">
        <f>'Pt 2 Premium and Claims'!L$54</f>
        <v>21825946.538899999</v>
      </c>
      <c r="M12" s="106">
        <f>'Pt 2 Premium and Claims'!M$54</f>
        <v>0</v>
      </c>
      <c r="N12" s="106">
        <f>'Pt 2 Premium and Claims'!N$54</f>
        <v>0</v>
      </c>
      <c r="O12" s="105">
        <f>'Pt 2 Premium and Claims'!O$54</f>
        <v>0</v>
      </c>
      <c r="P12" s="105">
        <f>'Pt 2 Premium and Claims'!P$54</f>
        <v>401478254</v>
      </c>
      <c r="Q12" s="106">
        <f>'Pt 2 Premium and Claims'!Q$54</f>
        <v>437796777.43046153</v>
      </c>
      <c r="R12" s="106">
        <f>'Pt 2 Premium and Claims'!R$54</f>
        <v>16847915.9705</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3891828139</v>
      </c>
      <c r="AT12" s="107">
        <f>'Pt 2 Premium and Claims'!AT$54</f>
        <v>5717495</v>
      </c>
      <c r="AU12" s="107">
        <f>'Pt 2 Premium and Claims'!AU$54</f>
        <v>0</v>
      </c>
      <c r="AV12" s="312"/>
      <c r="AW12" s="317"/>
    </row>
    <row r="13" spans="1:49" ht="25.5" x14ac:dyDescent="0.2">
      <c r="B13" s="155" t="s">
        <v>230</v>
      </c>
      <c r="C13" s="62" t="s">
        <v>37</v>
      </c>
      <c r="D13" s="109">
        <v>15941172</v>
      </c>
      <c r="E13" s="110">
        <v>16561074.215007313</v>
      </c>
      <c r="F13" s="110"/>
      <c r="G13" s="289"/>
      <c r="H13" s="290"/>
      <c r="I13" s="109">
        <v>12786473</v>
      </c>
      <c r="J13" s="109">
        <v>58545893</v>
      </c>
      <c r="K13" s="110">
        <v>55944478.50078553</v>
      </c>
      <c r="L13" s="110"/>
      <c r="M13" s="289"/>
      <c r="N13" s="290"/>
      <c r="O13" s="109"/>
      <c r="P13" s="109">
        <v>75795817</v>
      </c>
      <c r="Q13" s="110">
        <v>78515395.464207157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469429415</v>
      </c>
      <c r="AT13" s="113">
        <v>1304</v>
      </c>
      <c r="AU13" s="113"/>
      <c r="AV13" s="311"/>
      <c r="AW13" s="318"/>
    </row>
    <row r="14" spans="1:49" ht="25.5" x14ac:dyDescent="0.2">
      <c r="B14" s="155" t="s">
        <v>231</v>
      </c>
      <c r="C14" s="62" t="s">
        <v>6</v>
      </c>
      <c r="D14" s="109">
        <v>820052</v>
      </c>
      <c r="E14" s="110">
        <v>818219.20999999985</v>
      </c>
      <c r="F14" s="110"/>
      <c r="G14" s="288"/>
      <c r="H14" s="291"/>
      <c r="I14" s="109">
        <v>491732</v>
      </c>
      <c r="J14" s="109">
        <v>6315096</v>
      </c>
      <c r="K14" s="110">
        <v>5894265.4981280398</v>
      </c>
      <c r="L14" s="110"/>
      <c r="M14" s="288"/>
      <c r="N14" s="291"/>
      <c r="O14" s="109"/>
      <c r="P14" s="109">
        <v>7593218</v>
      </c>
      <c r="Q14" s="110">
        <v>7838422.351871958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100660478</v>
      </c>
      <c r="AT14" s="113">
        <v>916</v>
      </c>
      <c r="AU14" s="113"/>
      <c r="AV14" s="311"/>
      <c r="AW14" s="318"/>
    </row>
    <row r="15" spans="1:49" ht="38.25" x14ac:dyDescent="0.2">
      <c r="B15" s="155" t="s">
        <v>232</v>
      </c>
      <c r="C15" s="62" t="s">
        <v>7</v>
      </c>
      <c r="D15" s="109">
        <v>2408</v>
      </c>
      <c r="E15" s="110">
        <v>2407</v>
      </c>
      <c r="F15" s="110"/>
      <c r="G15" s="288"/>
      <c r="H15" s="294"/>
      <c r="I15" s="109">
        <v>1690</v>
      </c>
      <c r="J15" s="109">
        <v>6602</v>
      </c>
      <c r="K15" s="110">
        <v>6602</v>
      </c>
      <c r="L15" s="110"/>
      <c r="M15" s="288"/>
      <c r="N15" s="294"/>
      <c r="O15" s="109"/>
      <c r="P15" s="109">
        <v>9119</v>
      </c>
      <c r="Q15" s="110">
        <v>9119</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79739</v>
      </c>
      <c r="AT15" s="113">
        <v>2592</v>
      </c>
      <c r="AU15" s="113"/>
      <c r="AV15" s="311"/>
      <c r="AW15" s="318"/>
    </row>
    <row r="16" spans="1:49" ht="25.5" x14ac:dyDescent="0.2">
      <c r="B16" s="155" t="s">
        <v>233</v>
      </c>
      <c r="C16" s="62" t="s">
        <v>61</v>
      </c>
      <c r="D16" s="109">
        <v>-26190880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-414446375</v>
      </c>
      <c r="AT16" s="113"/>
      <c r="AU16" s="113"/>
      <c r="AV16" s="311"/>
      <c r="AW16" s="318"/>
    </row>
    <row r="17" spans="1:49" x14ac:dyDescent="0.2">
      <c r="B17" s="155" t="s">
        <v>234</v>
      </c>
      <c r="C17" s="62" t="s">
        <v>62</v>
      </c>
      <c r="D17" s="109">
        <v>131939</v>
      </c>
      <c r="E17" s="288"/>
      <c r="F17" s="291"/>
      <c r="G17" s="291"/>
      <c r="H17" s="291"/>
      <c r="I17" s="292"/>
      <c r="J17" s="109">
        <v>3346914</v>
      </c>
      <c r="K17" s="288"/>
      <c r="L17" s="291"/>
      <c r="M17" s="291"/>
      <c r="N17" s="291"/>
      <c r="O17" s="292"/>
      <c r="P17" s="109">
        <v>1365921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6159000</v>
      </c>
      <c r="AT17" s="113"/>
      <c r="AU17" s="113"/>
      <c r="AV17" s="311"/>
      <c r="AW17" s="318"/>
    </row>
    <row r="18" spans="1:49" x14ac:dyDescent="0.2">
      <c r="B18" s="155" t="s">
        <v>235</v>
      </c>
      <c r="C18" s="62" t="s">
        <v>63</v>
      </c>
      <c r="D18" s="109">
        <v>527211</v>
      </c>
      <c r="E18" s="288"/>
      <c r="F18" s="291"/>
      <c r="G18" s="291"/>
      <c r="H18" s="294"/>
      <c r="I18" s="292"/>
      <c r="J18" s="109">
        <v>1632113</v>
      </c>
      <c r="K18" s="288"/>
      <c r="L18" s="291"/>
      <c r="M18" s="291"/>
      <c r="N18" s="294"/>
      <c r="O18" s="292"/>
      <c r="P18" s="109">
        <v>1242797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891150</v>
      </c>
      <c r="E19" s="288"/>
      <c r="F19" s="291"/>
      <c r="G19" s="291"/>
      <c r="H19" s="291"/>
      <c r="I19" s="292"/>
      <c r="J19" s="109">
        <v>5019516</v>
      </c>
      <c r="K19" s="288"/>
      <c r="L19" s="291"/>
      <c r="M19" s="291"/>
      <c r="N19" s="291"/>
      <c r="O19" s="292"/>
      <c r="P19" s="109">
        <v>2723142</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40490</v>
      </c>
      <c r="K20" s="288"/>
      <c r="L20" s="291"/>
      <c r="M20" s="291"/>
      <c r="N20" s="291"/>
      <c r="O20" s="292"/>
      <c r="P20" s="109">
        <v>291426</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118384</v>
      </c>
      <c r="E22" s="115">
        <f>'Pt 2 Premium and Claims'!E$55</f>
        <v>125937.2</v>
      </c>
      <c r="F22" s="115">
        <f>'Pt 2 Premium and Claims'!F$55</f>
        <v>0</v>
      </c>
      <c r="G22" s="115">
        <f>'Pt 2 Premium and Claims'!G$55</f>
        <v>0</v>
      </c>
      <c r="H22" s="115">
        <f>'Pt 2 Premium and Claims'!H$55</f>
        <v>0</v>
      </c>
      <c r="I22" s="114">
        <f>'Pt 2 Premium and Claims'!I$55</f>
        <v>8396</v>
      </c>
      <c r="J22" s="114">
        <f>'Pt 2 Premium and Claims'!J$55</f>
        <v>382214</v>
      </c>
      <c r="K22" s="115">
        <f>'Pt 2 Premium and Claims'!K$55</f>
        <v>383239.72</v>
      </c>
      <c r="L22" s="115">
        <f>'Pt 2 Premium and Claims'!L$55</f>
        <v>0</v>
      </c>
      <c r="M22" s="115">
        <f>'Pt 2 Premium and Claims'!M$55</f>
        <v>0</v>
      </c>
      <c r="N22" s="115">
        <f>'Pt 2 Premium and Claims'!N$55</f>
        <v>0</v>
      </c>
      <c r="O22" s="114">
        <f>'Pt 2 Premium and Claims'!O$55</f>
        <v>0</v>
      </c>
      <c r="P22" s="114">
        <f>'Pt 2 Premium and Claims'!P$55</f>
        <v>881194</v>
      </c>
      <c r="Q22" s="115">
        <f>'Pt 2 Premium and Claims'!Q$55</f>
        <v>881968.74</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-421573.973</v>
      </c>
      <c r="E25" s="110">
        <v>-1163877.2448133545</v>
      </c>
      <c r="F25" s="110">
        <v>-22121.491813354525</v>
      </c>
      <c r="G25" s="110"/>
      <c r="H25" s="110"/>
      <c r="I25" s="109">
        <v>-3017394</v>
      </c>
      <c r="J25" s="109">
        <v>-1931374.4332999997</v>
      </c>
      <c r="K25" s="110">
        <v>-800945.42484369013</v>
      </c>
      <c r="L25" s="110">
        <v>1130429.0084563093</v>
      </c>
      <c r="M25" s="110"/>
      <c r="N25" s="110"/>
      <c r="O25" s="109"/>
      <c r="P25" s="109">
        <v>2315439.9465777534</v>
      </c>
      <c r="Q25" s="110">
        <v>2228790.6425760426</v>
      </c>
      <c r="R25" s="110">
        <v>-86649.304001711062</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29540570.542233776</v>
      </c>
      <c r="AT25" s="113">
        <v>1020827.4766176571</v>
      </c>
      <c r="AU25" s="113"/>
      <c r="AV25" s="113"/>
      <c r="AW25" s="318"/>
    </row>
    <row r="26" spans="1:49" s="5" customFormat="1" x14ac:dyDescent="0.2">
      <c r="A26" s="35"/>
      <c r="B26" s="158" t="s">
        <v>243</v>
      </c>
      <c r="C26" s="62"/>
      <c r="D26" s="109"/>
      <c r="E26" s="110">
        <v>94903.760133184405</v>
      </c>
      <c r="F26" s="110">
        <v>2399.4501331844021</v>
      </c>
      <c r="G26" s="110"/>
      <c r="H26" s="110"/>
      <c r="I26" s="109">
        <v>41241</v>
      </c>
      <c r="J26" s="109"/>
      <c r="K26" s="110">
        <v>193918.90995678573</v>
      </c>
      <c r="L26" s="110">
        <v>13559.579956785765</v>
      </c>
      <c r="M26" s="110"/>
      <c r="N26" s="110"/>
      <c r="O26" s="109"/>
      <c r="P26" s="109"/>
      <c r="Q26" s="110">
        <v>219627.65276783952</v>
      </c>
      <c r="R26" s="110">
        <v>9484.6627678395253</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1547689.7899999998</v>
      </c>
      <c r="E27" s="110">
        <v>1585025.0620630842</v>
      </c>
      <c r="F27" s="110">
        <v>37335.272063084507</v>
      </c>
      <c r="G27" s="110"/>
      <c r="H27" s="110"/>
      <c r="I27" s="109">
        <v>951596</v>
      </c>
      <c r="J27" s="109">
        <v>4500666.47</v>
      </c>
      <c r="K27" s="110">
        <v>4850016.827289084</v>
      </c>
      <c r="L27" s="110">
        <v>349350.35728908429</v>
      </c>
      <c r="M27" s="110"/>
      <c r="N27" s="110"/>
      <c r="O27" s="109"/>
      <c r="P27" s="109">
        <v>5916347.3100000005</v>
      </c>
      <c r="Q27" s="110">
        <v>6149593.2536210613</v>
      </c>
      <c r="R27" s="110">
        <v>233245.94362106096</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47262450.350000001</v>
      </c>
      <c r="AT27" s="113">
        <v>108455.87999999998</v>
      </c>
      <c r="AU27" s="113"/>
      <c r="AV27" s="314"/>
      <c r="AW27" s="318"/>
    </row>
    <row r="28" spans="1:49" s="5" customFormat="1" x14ac:dyDescent="0.2">
      <c r="A28" s="35"/>
      <c r="B28" s="158" t="s">
        <v>245</v>
      </c>
      <c r="C28" s="62"/>
      <c r="D28" s="109">
        <v>1809616.83</v>
      </c>
      <c r="E28" s="110">
        <v>441420.67858131061</v>
      </c>
      <c r="F28" s="110">
        <v>11456.978581310581</v>
      </c>
      <c r="G28" s="110"/>
      <c r="H28" s="110"/>
      <c r="I28" s="109">
        <v>181834</v>
      </c>
      <c r="J28" s="109">
        <v>5377441.870000001</v>
      </c>
      <c r="K28" s="110">
        <v>796486.10844241257</v>
      </c>
      <c r="L28" s="110">
        <v>56709.918442412541</v>
      </c>
      <c r="M28" s="110"/>
      <c r="N28" s="110"/>
      <c r="O28" s="109"/>
      <c r="P28" s="109">
        <v>6590496.1599999992</v>
      </c>
      <c r="Q28" s="110">
        <v>1013820.8625053947</v>
      </c>
      <c r="R28" s="110">
        <v>41818.662505394583</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719401.32</v>
      </c>
      <c r="AT28" s="113">
        <v>17475.580000000005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-68380.459890000013</v>
      </c>
      <c r="E30" s="110">
        <v>-1705.5094143649649</v>
      </c>
      <c r="F30" s="110">
        <v>535.86907563504508</v>
      </c>
      <c r="G30" s="110"/>
      <c r="H30" s="110"/>
      <c r="I30" s="109">
        <v>-192790</v>
      </c>
      <c r="J30" s="109">
        <v>-110655.691529</v>
      </c>
      <c r="K30" s="110">
        <v>89190.425281904681</v>
      </c>
      <c r="L30" s="110">
        <v>78661.076210904692</v>
      </c>
      <c r="M30" s="110"/>
      <c r="N30" s="110"/>
      <c r="O30" s="109"/>
      <c r="P30" s="109">
        <v>235332.95433141012</v>
      </c>
      <c r="Q30" s="110">
        <v>411327.11935416871</v>
      </c>
      <c r="R30" s="110">
        <v>2932.2489270437422</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2584551.0945161744</v>
      </c>
      <c r="AT30" s="113">
        <v>80386.736135801999</v>
      </c>
      <c r="AU30" s="113"/>
      <c r="AV30" s="113"/>
      <c r="AW30" s="318"/>
    </row>
    <row r="31" spans="1:49" x14ac:dyDescent="0.2">
      <c r="B31" s="158" t="s">
        <v>248</v>
      </c>
      <c r="C31" s="62"/>
      <c r="D31" s="109">
        <v>205844.92860000001</v>
      </c>
      <c r="E31" s="110">
        <v>80007.486505464709</v>
      </c>
      <c r="F31" s="110">
        <v>48535.507905464714</v>
      </c>
      <c r="G31" s="110"/>
      <c r="H31" s="110"/>
      <c r="I31" s="109">
        <v>20504</v>
      </c>
      <c r="J31" s="109">
        <v>2329529.7694000006</v>
      </c>
      <c r="K31" s="110">
        <v>2768819.8115348802</v>
      </c>
      <c r="L31" s="110">
        <v>439290.04213487956</v>
      </c>
      <c r="M31" s="110"/>
      <c r="N31" s="110"/>
      <c r="O31" s="109"/>
      <c r="P31" s="109">
        <v>1857061.0194000001</v>
      </c>
      <c r="Q31" s="110">
        <v>2117930.1962891906</v>
      </c>
      <c r="R31" s="110">
        <v>260869.1768891903</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21310.84</v>
      </c>
      <c r="AT31" s="113">
        <v>112855.25000000001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2772623.8206227208</v>
      </c>
      <c r="F34" s="110">
        <v>74276.360622720313</v>
      </c>
      <c r="G34" s="110"/>
      <c r="H34" s="110"/>
      <c r="I34" s="109">
        <v>1046233</v>
      </c>
      <c r="J34" s="109"/>
      <c r="K34" s="110">
        <v>5423919.8446697546</v>
      </c>
      <c r="L34" s="110">
        <v>357682.68466975563</v>
      </c>
      <c r="M34" s="110"/>
      <c r="N34" s="110"/>
      <c r="O34" s="109"/>
      <c r="P34" s="109"/>
      <c r="Q34" s="110">
        <v>6560799.3095938824</v>
      </c>
      <c r="R34" s="110">
        <v>304509.1595938825</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116834.01000000001</v>
      </c>
      <c r="E35" s="110">
        <v>859730.80843747919</v>
      </c>
      <c r="F35" s="110">
        <v>3185.9084374792997</v>
      </c>
      <c r="G35" s="110"/>
      <c r="H35" s="110"/>
      <c r="I35" s="109">
        <v>789615</v>
      </c>
      <c r="J35" s="109">
        <v>202377.85</v>
      </c>
      <c r="K35" s="110">
        <v>247933.93468612313</v>
      </c>
      <c r="L35" s="110">
        <v>18629.504686123109</v>
      </c>
      <c r="M35" s="110"/>
      <c r="N35" s="110"/>
      <c r="O35" s="109"/>
      <c r="P35" s="109">
        <v>266497.82</v>
      </c>
      <c r="Q35" s="110">
        <v>424136.05232079863</v>
      </c>
      <c r="R35" s="110">
        <v>157516.2423207986</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1838086.5200000005</v>
      </c>
      <c r="AT35" s="113">
        <v>9815.92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388890</v>
      </c>
      <c r="E37" s="118">
        <v>394436.48999999993</v>
      </c>
      <c r="F37" s="118">
        <v>5547.71</v>
      </c>
      <c r="G37" s="118"/>
      <c r="H37" s="118"/>
      <c r="I37" s="117">
        <v>158644</v>
      </c>
      <c r="J37" s="117">
        <v>1438902</v>
      </c>
      <c r="K37" s="118">
        <v>1506275.7900000003</v>
      </c>
      <c r="L37" s="118">
        <v>67381.439999999988</v>
      </c>
      <c r="M37" s="118"/>
      <c r="N37" s="118"/>
      <c r="O37" s="117"/>
      <c r="P37" s="117">
        <v>1708110</v>
      </c>
      <c r="Q37" s="118">
        <v>1750211.6400000008</v>
      </c>
      <c r="R37" s="118">
        <v>42107.009999999995</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34295274</v>
      </c>
      <c r="AT37" s="119">
        <v>607</v>
      </c>
      <c r="AU37" s="119"/>
      <c r="AV37" s="119"/>
      <c r="AW37" s="317"/>
    </row>
    <row r="38" spans="1:49" x14ac:dyDescent="0.2">
      <c r="B38" s="155" t="s">
        <v>255</v>
      </c>
      <c r="C38" s="62" t="s">
        <v>16</v>
      </c>
      <c r="D38" s="109">
        <v>88817</v>
      </c>
      <c r="E38" s="110">
        <v>91690.439999999973</v>
      </c>
      <c r="F38" s="110">
        <v>2873.4300000000003</v>
      </c>
      <c r="G38" s="110"/>
      <c r="H38" s="110"/>
      <c r="I38" s="109">
        <v>38303</v>
      </c>
      <c r="J38" s="109">
        <v>573651</v>
      </c>
      <c r="K38" s="110">
        <v>622146.24000000022</v>
      </c>
      <c r="L38" s="110">
        <v>48498.480000000018</v>
      </c>
      <c r="M38" s="110"/>
      <c r="N38" s="110"/>
      <c r="O38" s="109"/>
      <c r="P38" s="109">
        <v>663286</v>
      </c>
      <c r="Q38" s="110">
        <v>693379.94000000018</v>
      </c>
      <c r="R38" s="110">
        <v>30098.560000000001</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12111682</v>
      </c>
      <c r="AT38" s="113"/>
      <c r="AU38" s="113"/>
      <c r="AV38" s="113"/>
      <c r="AW38" s="318"/>
    </row>
    <row r="39" spans="1:49" x14ac:dyDescent="0.2">
      <c r="B39" s="158" t="s">
        <v>256</v>
      </c>
      <c r="C39" s="62" t="s">
        <v>17</v>
      </c>
      <c r="D39" s="109">
        <v>157797</v>
      </c>
      <c r="E39" s="110">
        <v>158880.75</v>
      </c>
      <c r="F39" s="110">
        <v>1084.0400000000002</v>
      </c>
      <c r="G39" s="110"/>
      <c r="H39" s="110"/>
      <c r="I39" s="109">
        <v>58378</v>
      </c>
      <c r="J39" s="109">
        <v>556697</v>
      </c>
      <c r="K39" s="110">
        <v>567403.0499999997</v>
      </c>
      <c r="L39" s="110">
        <v>10707.090000000002</v>
      </c>
      <c r="M39" s="110"/>
      <c r="N39" s="110"/>
      <c r="O39" s="109"/>
      <c r="P39" s="109">
        <v>618789</v>
      </c>
      <c r="Q39" s="110">
        <v>625567.69999999995</v>
      </c>
      <c r="R39" s="110">
        <v>6779.8200000000015</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8237789</v>
      </c>
      <c r="AT39" s="113">
        <v>564</v>
      </c>
      <c r="AU39" s="113"/>
      <c r="AV39" s="113"/>
      <c r="AW39" s="318"/>
    </row>
    <row r="40" spans="1:49" x14ac:dyDescent="0.2">
      <c r="B40" s="158" t="s">
        <v>257</v>
      </c>
      <c r="C40" s="62" t="s">
        <v>38</v>
      </c>
      <c r="D40" s="109">
        <v>457512</v>
      </c>
      <c r="E40" s="110">
        <v>458894.37000000017</v>
      </c>
      <c r="F40" s="110">
        <v>1382</v>
      </c>
      <c r="G40" s="110"/>
      <c r="H40" s="110"/>
      <c r="I40" s="109">
        <v>137905.49</v>
      </c>
      <c r="J40" s="109">
        <v>4287556</v>
      </c>
      <c r="K40" s="110">
        <v>4327538.53</v>
      </c>
      <c r="L40" s="110">
        <v>39984.569999999992</v>
      </c>
      <c r="M40" s="110"/>
      <c r="N40" s="110"/>
      <c r="O40" s="109"/>
      <c r="P40" s="109">
        <v>5739066</v>
      </c>
      <c r="Q40" s="110">
        <v>5762583.2499999991</v>
      </c>
      <c r="R40" s="110">
        <v>23519.58</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27361375</v>
      </c>
      <c r="AT40" s="113">
        <v>674</v>
      </c>
      <c r="AU40" s="113"/>
      <c r="AV40" s="113"/>
      <c r="AW40" s="318"/>
    </row>
    <row r="41" spans="1:49" s="5" customFormat="1" ht="25.5" x14ac:dyDescent="0.2">
      <c r="A41" s="35"/>
      <c r="B41" s="158" t="s">
        <v>258</v>
      </c>
      <c r="C41" s="62" t="s">
        <v>129</v>
      </c>
      <c r="D41" s="109">
        <v>184581</v>
      </c>
      <c r="E41" s="110">
        <v>192152.28</v>
      </c>
      <c r="F41" s="110">
        <v>7571.97</v>
      </c>
      <c r="G41" s="110"/>
      <c r="H41" s="110"/>
      <c r="I41" s="109">
        <v>52928.11</v>
      </c>
      <c r="J41" s="109">
        <v>364925</v>
      </c>
      <c r="K41" s="110">
        <v>395608.13</v>
      </c>
      <c r="L41" s="110">
        <v>30683</v>
      </c>
      <c r="M41" s="110"/>
      <c r="N41" s="110"/>
      <c r="O41" s="109"/>
      <c r="P41" s="109">
        <v>444403</v>
      </c>
      <c r="Q41" s="110">
        <v>464636.5900000002</v>
      </c>
      <c r="R41" s="110">
        <v>20233.650000000001</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2915051</v>
      </c>
      <c r="AT41" s="113">
        <v>9687</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1506258</v>
      </c>
      <c r="E44" s="118">
        <v>1548005.0282587027</v>
      </c>
      <c r="F44" s="118">
        <v>41747.028258702798</v>
      </c>
      <c r="G44" s="118"/>
      <c r="H44" s="118"/>
      <c r="I44" s="117">
        <v>806304</v>
      </c>
      <c r="J44" s="117">
        <v>5421426</v>
      </c>
      <c r="K44" s="118">
        <v>5706185.6590429787</v>
      </c>
      <c r="L44" s="118">
        <v>284759.65904297837</v>
      </c>
      <c r="M44" s="118"/>
      <c r="N44" s="118"/>
      <c r="O44" s="117"/>
      <c r="P44" s="117">
        <v>7670291</v>
      </c>
      <c r="Q44" s="118">
        <v>7941954.1217287239</v>
      </c>
      <c r="R44" s="118">
        <v>271663.12172872433</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38055026</v>
      </c>
      <c r="AT44" s="119">
        <v>38448</v>
      </c>
      <c r="AU44" s="119"/>
      <c r="AV44" s="119"/>
      <c r="AW44" s="317"/>
    </row>
    <row r="45" spans="1:49" x14ac:dyDescent="0.2">
      <c r="B45" s="161" t="s">
        <v>262</v>
      </c>
      <c r="C45" s="62" t="s">
        <v>19</v>
      </c>
      <c r="D45" s="109">
        <v>1676871</v>
      </c>
      <c r="E45" s="110">
        <v>1689492.5214847354</v>
      </c>
      <c r="F45" s="110">
        <v>12621.521484735502</v>
      </c>
      <c r="G45" s="110"/>
      <c r="H45" s="110"/>
      <c r="I45" s="109">
        <v>805706</v>
      </c>
      <c r="J45" s="109">
        <v>2475966</v>
      </c>
      <c r="K45" s="110">
        <v>2623683.8950495254</v>
      </c>
      <c r="L45" s="110">
        <v>147717.89504952563</v>
      </c>
      <c r="M45" s="110"/>
      <c r="N45" s="110"/>
      <c r="O45" s="109"/>
      <c r="P45" s="109">
        <v>3511724</v>
      </c>
      <c r="Q45" s="110">
        <v>3643137.7305335789</v>
      </c>
      <c r="R45" s="110">
        <v>131413.7305335789</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19710371</v>
      </c>
      <c r="AT45" s="113">
        <v>40775</v>
      </c>
      <c r="AU45" s="113"/>
      <c r="AV45" s="113"/>
      <c r="AW45" s="318"/>
    </row>
    <row r="46" spans="1:49" x14ac:dyDescent="0.2">
      <c r="B46" s="161" t="s">
        <v>263</v>
      </c>
      <c r="C46" s="62" t="s">
        <v>20</v>
      </c>
      <c r="D46" s="109">
        <v>1786371</v>
      </c>
      <c r="E46" s="110">
        <v>1844075.8074679759</v>
      </c>
      <c r="F46" s="110">
        <v>57704.807467975937</v>
      </c>
      <c r="G46" s="110"/>
      <c r="H46" s="110"/>
      <c r="I46" s="109">
        <v>826737</v>
      </c>
      <c r="J46" s="109">
        <v>2110114</v>
      </c>
      <c r="K46" s="110">
        <v>2340828.6795640993</v>
      </c>
      <c r="L46" s="110">
        <v>230714.67956409941</v>
      </c>
      <c r="M46" s="110"/>
      <c r="N46" s="110"/>
      <c r="O46" s="109"/>
      <c r="P46" s="109">
        <v>2625526</v>
      </c>
      <c r="Q46" s="110">
        <v>2777606.7149670226</v>
      </c>
      <c r="R46" s="110">
        <v>152080.71496702259</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38652143</v>
      </c>
      <c r="AT46" s="113">
        <v>153331</v>
      </c>
      <c r="AU46" s="113"/>
      <c r="AV46" s="113"/>
      <c r="AW46" s="318"/>
    </row>
    <row r="47" spans="1:49" x14ac:dyDescent="0.2">
      <c r="B47" s="161" t="s">
        <v>264</v>
      </c>
      <c r="C47" s="62" t="s">
        <v>21</v>
      </c>
      <c r="D47" s="109">
        <v>5162512</v>
      </c>
      <c r="E47" s="110">
        <v>5336338.83039241</v>
      </c>
      <c r="F47" s="110">
        <v>173826.83039241022</v>
      </c>
      <c r="G47" s="110"/>
      <c r="H47" s="110"/>
      <c r="I47" s="109">
        <v>2209739</v>
      </c>
      <c r="J47" s="109">
        <v>18458793</v>
      </c>
      <c r="K47" s="110">
        <v>19515550.095107857</v>
      </c>
      <c r="L47" s="110">
        <v>1056757.0951078581</v>
      </c>
      <c r="M47" s="110"/>
      <c r="N47" s="110"/>
      <c r="O47" s="109"/>
      <c r="P47" s="109">
        <v>15071604</v>
      </c>
      <c r="Q47" s="110">
        <v>15867059.050276978</v>
      </c>
      <c r="R47" s="110">
        <v>795455.05027697724</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63113457</v>
      </c>
      <c r="AT47" s="113">
        <v>49876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307013.37459000008</v>
      </c>
      <c r="E49" s="110">
        <v>-140893.22348719765</v>
      </c>
      <c r="F49" s="110">
        <v>2722.8833228022445</v>
      </c>
      <c r="G49" s="110"/>
      <c r="H49" s="110"/>
      <c r="I49" s="109">
        <v>-69455</v>
      </c>
      <c r="J49" s="109">
        <v>1175808.385429</v>
      </c>
      <c r="K49" s="110">
        <v>343559.6282707206</v>
      </c>
      <c r="L49" s="110">
        <v>-75206.326558279325</v>
      </c>
      <c r="M49" s="110"/>
      <c r="N49" s="110"/>
      <c r="O49" s="109"/>
      <c r="P49" s="109">
        <v>1672319.1595685901</v>
      </c>
      <c r="Q49" s="110">
        <v>675399.32201361831</v>
      </c>
      <c r="R49" s="110">
        <v>24203.2485407432</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4596015.3554838272</v>
      </c>
      <c r="AT49" s="113">
        <v>-192581.46613580201</v>
      </c>
      <c r="AU49" s="113"/>
      <c r="AV49" s="113"/>
      <c r="AW49" s="318"/>
    </row>
    <row r="50" spans="2:49" ht="25.5" x14ac:dyDescent="0.2">
      <c r="B50" s="155" t="s">
        <v>266</v>
      </c>
      <c r="C50" s="62"/>
      <c r="D50" s="109">
        <v>6298.3900000000012</v>
      </c>
      <c r="E50" s="110">
        <v>6512.2274041123719</v>
      </c>
      <c r="F50" s="110">
        <v>213.83740411237036</v>
      </c>
      <c r="G50" s="110"/>
      <c r="H50" s="110"/>
      <c r="I50" s="109">
        <v>2568</v>
      </c>
      <c r="J50" s="109">
        <v>11526.300000000001</v>
      </c>
      <c r="K50" s="110">
        <v>12472.840954936117</v>
      </c>
      <c r="L50" s="110">
        <v>946.54095493611487</v>
      </c>
      <c r="M50" s="110"/>
      <c r="N50" s="110"/>
      <c r="O50" s="109"/>
      <c r="P50" s="109">
        <v>15489.109999999999</v>
      </c>
      <c r="Q50" s="110">
        <v>16183.05326715684</v>
      </c>
      <c r="R50" s="110">
        <v>693.94326715684201</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109245.84999999999</v>
      </c>
      <c r="AT50" s="113">
        <v>351.64</v>
      </c>
      <c r="AU50" s="113"/>
      <c r="AV50" s="113"/>
      <c r="AW50" s="318"/>
    </row>
    <row r="51" spans="2:49" x14ac:dyDescent="0.2">
      <c r="B51" s="155" t="s">
        <v>267</v>
      </c>
      <c r="C51" s="62"/>
      <c r="D51" s="109">
        <v>12187462</v>
      </c>
      <c r="E51" s="110">
        <v>12601748.649488723</v>
      </c>
      <c r="F51" s="110">
        <v>414286.64948872238</v>
      </c>
      <c r="G51" s="110"/>
      <c r="H51" s="110"/>
      <c r="I51" s="109">
        <v>5092257</v>
      </c>
      <c r="J51" s="109">
        <v>22025266</v>
      </c>
      <c r="K51" s="110">
        <v>23845004.073827483</v>
      </c>
      <c r="L51" s="110">
        <v>1819738.0738274811</v>
      </c>
      <c r="M51" s="110"/>
      <c r="N51" s="110"/>
      <c r="O51" s="109"/>
      <c r="P51" s="109">
        <v>29049407</v>
      </c>
      <c r="Q51" s="110">
        <v>30346852.578056529</v>
      </c>
      <c r="R51" s="110">
        <v>1297445.5780565285</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228177000</v>
      </c>
      <c r="AT51" s="113">
        <v>710445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28348</v>
      </c>
      <c r="E56" s="122">
        <v>27582</v>
      </c>
      <c r="F56" s="122"/>
      <c r="G56" s="122"/>
      <c r="H56" s="122"/>
      <c r="I56" s="121">
        <v>16168</v>
      </c>
      <c r="J56" s="121">
        <v>61998</v>
      </c>
      <c r="K56" s="122">
        <v>59283</v>
      </c>
      <c r="L56" s="122"/>
      <c r="M56" s="122"/>
      <c r="N56" s="122"/>
      <c r="O56" s="121"/>
      <c r="P56" s="121">
        <v>60831</v>
      </c>
      <c r="Q56" s="122">
        <v>60645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297209</v>
      </c>
      <c r="AT56" s="123">
        <v>42399</v>
      </c>
      <c r="AU56" s="123"/>
      <c r="AV56" s="123"/>
      <c r="AW56" s="309"/>
    </row>
    <row r="57" spans="2:49" x14ac:dyDescent="0.2">
      <c r="B57" s="161" t="s">
        <v>273</v>
      </c>
      <c r="C57" s="62" t="s">
        <v>25</v>
      </c>
      <c r="D57" s="124">
        <v>45963</v>
      </c>
      <c r="E57" s="125">
        <v>45243</v>
      </c>
      <c r="F57" s="125">
        <v>1162</v>
      </c>
      <c r="G57" s="125"/>
      <c r="H57" s="125"/>
      <c r="I57" s="124">
        <v>23404</v>
      </c>
      <c r="J57" s="124">
        <v>103288</v>
      </c>
      <c r="K57" s="125">
        <v>100946</v>
      </c>
      <c r="L57" s="125">
        <v>7889</v>
      </c>
      <c r="M57" s="125"/>
      <c r="N57" s="125"/>
      <c r="O57" s="124"/>
      <c r="P57" s="124">
        <v>101905</v>
      </c>
      <c r="Q57" s="125">
        <v>108994</v>
      </c>
      <c r="R57" s="125">
        <v>4953</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529637</v>
      </c>
      <c r="AT57" s="126">
        <v>42672</v>
      </c>
      <c r="AU57" s="126"/>
      <c r="AV57" s="126"/>
      <c r="AW57" s="310"/>
    </row>
    <row r="58" spans="2:49" x14ac:dyDescent="0.2">
      <c r="B58" s="161" t="s">
        <v>274</v>
      </c>
      <c r="C58" s="62" t="s">
        <v>26</v>
      </c>
      <c r="D58" s="330"/>
      <c r="E58" s="331"/>
      <c r="F58" s="331"/>
      <c r="G58" s="331"/>
      <c r="H58" s="331"/>
      <c r="I58" s="330"/>
      <c r="J58" s="124">
        <v>7604</v>
      </c>
      <c r="K58" s="125">
        <v>7604</v>
      </c>
      <c r="L58" s="125"/>
      <c r="M58" s="125"/>
      <c r="N58" s="125"/>
      <c r="O58" s="124"/>
      <c r="P58" s="124">
        <v>718</v>
      </c>
      <c r="Q58" s="125">
        <v>718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59</v>
      </c>
      <c r="AT58" s="126">
        <v>14</v>
      </c>
      <c r="AU58" s="126"/>
      <c r="AV58" s="126"/>
      <c r="AW58" s="310"/>
    </row>
    <row r="59" spans="2:49" x14ac:dyDescent="0.2">
      <c r="B59" s="161" t="s">
        <v>275</v>
      </c>
      <c r="C59" s="62" t="s">
        <v>27</v>
      </c>
      <c r="D59" s="124">
        <v>573290</v>
      </c>
      <c r="E59" s="125">
        <v>554545</v>
      </c>
      <c r="F59" s="125">
        <v>17308</v>
      </c>
      <c r="G59" s="125"/>
      <c r="H59" s="125"/>
      <c r="I59" s="124">
        <v>243951</v>
      </c>
      <c r="J59" s="124">
        <v>1099574</v>
      </c>
      <c r="K59" s="125">
        <v>1064728</v>
      </c>
      <c r="L59" s="125">
        <v>85226</v>
      </c>
      <c r="M59" s="125"/>
      <c r="N59" s="125"/>
      <c r="O59" s="124"/>
      <c r="P59" s="124">
        <v>1253629</v>
      </c>
      <c r="Q59" s="125">
        <v>1319905</v>
      </c>
      <c r="R59" s="125">
        <v>59758</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5559421</v>
      </c>
      <c r="AT59" s="126">
        <v>488742</v>
      </c>
      <c r="AU59" s="126"/>
      <c r="AV59" s="126"/>
      <c r="AW59" s="310"/>
    </row>
    <row r="60" spans="2:49" x14ac:dyDescent="0.2">
      <c r="B60" s="161" t="s">
        <v>276</v>
      </c>
      <c r="C60" s="62"/>
      <c r="D60" s="127">
        <f t="shared" ref="D60:AC60" si="0">D$59/12</f>
        <v>47774.166666666664</v>
      </c>
      <c r="E60" s="128">
        <f t="shared" si="0"/>
        <v>46212.083333333336</v>
      </c>
      <c r="F60" s="128">
        <f t="shared" si="0"/>
        <v>1442.3333333333333</v>
      </c>
      <c r="G60" s="128">
        <f t="shared" si="0"/>
        <v>0</v>
      </c>
      <c r="H60" s="128">
        <f t="shared" si="0"/>
        <v>0</v>
      </c>
      <c r="I60" s="127">
        <f t="shared" si="0"/>
        <v>20329.25</v>
      </c>
      <c r="J60" s="127">
        <f t="shared" si="0"/>
        <v>91631.166666666672</v>
      </c>
      <c r="K60" s="128">
        <f t="shared" si="0"/>
        <v>88727.333333333328</v>
      </c>
      <c r="L60" s="128">
        <f t="shared" si="0"/>
        <v>7102.166666666667</v>
      </c>
      <c r="M60" s="128">
        <f t="shared" si="0"/>
        <v>0</v>
      </c>
      <c r="N60" s="128">
        <f t="shared" si="0"/>
        <v>0</v>
      </c>
      <c r="O60" s="127">
        <f t="shared" si="0"/>
        <v>0</v>
      </c>
      <c r="P60" s="127">
        <f t="shared" si="0"/>
        <v>104469.08333333333</v>
      </c>
      <c r="Q60" s="128">
        <f t="shared" si="0"/>
        <v>109992.08333333333</v>
      </c>
      <c r="R60" s="128">
        <f t="shared" si="0"/>
        <v>4979.833333333333</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463285.08333333331</v>
      </c>
      <c r="AT60" s="129">
        <f t="shared" si="1"/>
        <v>40728.5</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22046016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4102385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55" sqref="D55: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124560339</v>
      </c>
      <c r="E5" s="118">
        <v>121569140.37462716</v>
      </c>
      <c r="F5" s="118">
        <v>2925870.24</v>
      </c>
      <c r="G5" s="130"/>
      <c r="H5" s="130"/>
      <c r="I5" s="117">
        <v>70966445</v>
      </c>
      <c r="J5" s="117">
        <v>339385711</v>
      </c>
      <c r="K5" s="118">
        <v>353535112.04369712</v>
      </c>
      <c r="L5" s="118">
        <v>28356192.339999996</v>
      </c>
      <c r="M5" s="118"/>
      <c r="N5" s="118"/>
      <c r="O5" s="117"/>
      <c r="P5" s="117">
        <v>488553591</v>
      </c>
      <c r="Q5" s="118">
        <v>528307807.70547271</v>
      </c>
      <c r="R5" s="118">
        <v>20106806.709999997</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4481832632</v>
      </c>
      <c r="AT5" s="119">
        <v>9514601</v>
      </c>
      <c r="AU5" s="119"/>
      <c r="AV5" s="312"/>
      <c r="AW5" s="317"/>
    </row>
    <row r="6" spans="2:49" x14ac:dyDescent="0.2">
      <c r="B6" s="176" t="s">
        <v>279</v>
      </c>
      <c r="C6" s="133" t="s">
        <v>8</v>
      </c>
      <c r="D6" s="109">
        <v>124287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33120</v>
      </c>
      <c r="AT6" s="113">
        <v>40894</v>
      </c>
      <c r="AU6" s="113"/>
      <c r="AV6" s="311"/>
      <c r="AW6" s="318"/>
    </row>
    <row r="7" spans="2:49" x14ac:dyDescent="0.2">
      <c r="B7" s="176" t="s">
        <v>280</v>
      </c>
      <c r="C7" s="133" t="s">
        <v>9</v>
      </c>
      <c r="D7" s="109">
        <v>102659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7994.1399999998976</v>
      </c>
      <c r="E9" s="288"/>
      <c r="F9" s="288"/>
      <c r="G9" s="288"/>
      <c r="H9" s="288"/>
      <c r="I9" s="292"/>
      <c r="J9" s="109">
        <v>-307102.50000000047</v>
      </c>
      <c r="K9" s="288"/>
      <c r="L9" s="288"/>
      <c r="M9" s="288"/>
      <c r="N9" s="288"/>
      <c r="O9" s="292"/>
      <c r="P9" s="109">
        <v>1103996.4900000081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-38109.75</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-6204787</v>
      </c>
      <c r="E11" s="110"/>
      <c r="F11" s="110"/>
      <c r="G11" s="110"/>
      <c r="H11" s="110"/>
      <c r="I11" s="109"/>
      <c r="J11" s="109">
        <v>0.53999999906227458</v>
      </c>
      <c r="K11" s="110"/>
      <c r="L11" s="110"/>
      <c r="M11" s="110"/>
      <c r="N11" s="110"/>
      <c r="O11" s="109"/>
      <c r="P11" s="109">
        <v>-1047150.2899999999</v>
      </c>
      <c r="Q11" s="110">
        <v>12425.36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-33177828</v>
      </c>
      <c r="AT11" s="113"/>
      <c r="AU11" s="113"/>
      <c r="AV11" s="311"/>
      <c r="AW11" s="318"/>
    </row>
    <row r="12" spans="2:49" x14ac:dyDescent="0.2">
      <c r="B12" s="176" t="s">
        <v>283</v>
      </c>
      <c r="C12" s="133" t="s">
        <v>44</v>
      </c>
      <c r="D12" s="109">
        <v>0.35999999986961484</v>
      </c>
      <c r="E12" s="289"/>
      <c r="F12" s="289"/>
      <c r="G12" s="289"/>
      <c r="H12" s="289"/>
      <c r="I12" s="293"/>
      <c r="J12" s="109">
        <v>0.44999999739229679</v>
      </c>
      <c r="K12" s="289"/>
      <c r="L12" s="289"/>
      <c r="M12" s="289"/>
      <c r="N12" s="289"/>
      <c r="O12" s="293"/>
      <c r="P12" s="109">
        <v>802890.37000000477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-44753665</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22524616.039999999</v>
      </c>
      <c r="F15" s="110"/>
      <c r="G15" s="110"/>
      <c r="H15" s="110"/>
      <c r="I15" s="109">
        <v>22524616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6147169.1900000004</v>
      </c>
      <c r="F16" s="110"/>
      <c r="G16" s="110"/>
      <c r="H16" s="110"/>
      <c r="I16" s="109">
        <v>6147169</v>
      </c>
      <c r="J16" s="109"/>
      <c r="K16" s="110">
        <v>-7021831.9899999993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11357442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24672755.259999998</v>
      </c>
      <c r="F20" s="110"/>
      <c r="G20" s="110"/>
      <c r="H20" s="110"/>
      <c r="I20" s="109">
        <v>24672755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120966843</v>
      </c>
      <c r="E23" s="288"/>
      <c r="F23" s="288"/>
      <c r="G23" s="288"/>
      <c r="H23" s="288"/>
      <c r="I23" s="292"/>
      <c r="J23" s="109">
        <v>273561558</v>
      </c>
      <c r="K23" s="288"/>
      <c r="L23" s="288"/>
      <c r="M23" s="288"/>
      <c r="N23" s="288"/>
      <c r="O23" s="292"/>
      <c r="P23" s="109">
        <v>406700255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3689037799</v>
      </c>
      <c r="AT23" s="113">
        <v>5710132</v>
      </c>
      <c r="AU23" s="113"/>
      <c r="AV23" s="311"/>
      <c r="AW23" s="318"/>
    </row>
    <row r="24" spans="2:49" ht="28.5" customHeight="1" x14ac:dyDescent="0.2">
      <c r="B24" s="178" t="s">
        <v>114</v>
      </c>
      <c r="C24" s="133"/>
      <c r="D24" s="293"/>
      <c r="E24" s="110">
        <v>141461298.96100003</v>
      </c>
      <c r="F24" s="110">
        <v>3064909.98</v>
      </c>
      <c r="G24" s="110"/>
      <c r="H24" s="110"/>
      <c r="I24" s="109">
        <v>105215200.59999999</v>
      </c>
      <c r="J24" s="293"/>
      <c r="K24" s="110">
        <v>284675316.56999999</v>
      </c>
      <c r="L24" s="110">
        <v>20004797.359999999</v>
      </c>
      <c r="M24" s="110"/>
      <c r="N24" s="110"/>
      <c r="O24" s="109"/>
      <c r="P24" s="293"/>
      <c r="Q24" s="110">
        <v>440223536.05000007</v>
      </c>
      <c r="R24" s="110">
        <v>14953120.369999997</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19978398</v>
      </c>
      <c r="E26" s="288"/>
      <c r="F26" s="288"/>
      <c r="G26" s="288"/>
      <c r="H26" s="288"/>
      <c r="I26" s="292"/>
      <c r="J26" s="109">
        <v>27916586</v>
      </c>
      <c r="K26" s="288"/>
      <c r="L26" s="288"/>
      <c r="M26" s="288"/>
      <c r="N26" s="288"/>
      <c r="O26" s="292"/>
      <c r="P26" s="109">
        <v>37478361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442500221</v>
      </c>
      <c r="AT26" s="113">
        <v>338629</v>
      </c>
      <c r="AU26" s="113"/>
      <c r="AV26" s="311"/>
      <c r="AW26" s="318"/>
    </row>
    <row r="27" spans="2:49" s="5" customFormat="1" ht="25.5" x14ac:dyDescent="0.2">
      <c r="B27" s="178" t="s">
        <v>85</v>
      </c>
      <c r="C27" s="133"/>
      <c r="D27" s="293"/>
      <c r="E27" s="110">
        <v>4413638.9602575358</v>
      </c>
      <c r="F27" s="110">
        <v>54773.281499999997</v>
      </c>
      <c r="G27" s="110"/>
      <c r="H27" s="110"/>
      <c r="I27" s="109">
        <v>4288341</v>
      </c>
      <c r="J27" s="293"/>
      <c r="K27" s="110">
        <v>3815184.6531090932</v>
      </c>
      <c r="L27" s="110">
        <v>623203.17890000017</v>
      </c>
      <c r="M27" s="110"/>
      <c r="N27" s="110"/>
      <c r="O27" s="109"/>
      <c r="P27" s="293"/>
      <c r="Q27" s="110">
        <v>6362322.712333383</v>
      </c>
      <c r="R27" s="110">
        <v>421587.60050000006</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5490903</v>
      </c>
      <c r="E28" s="289"/>
      <c r="F28" s="289"/>
      <c r="G28" s="289"/>
      <c r="H28" s="289"/>
      <c r="I28" s="293"/>
      <c r="J28" s="109">
        <v>23861041</v>
      </c>
      <c r="K28" s="289"/>
      <c r="L28" s="289"/>
      <c r="M28" s="289"/>
      <c r="N28" s="289"/>
      <c r="O28" s="293"/>
      <c r="P28" s="109">
        <v>40679678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260710124</v>
      </c>
      <c r="AT28" s="113">
        <v>331427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152727</v>
      </c>
      <c r="K30" s="288"/>
      <c r="L30" s="288"/>
      <c r="M30" s="288"/>
      <c r="N30" s="288"/>
      <c r="O30" s="292"/>
      <c r="P30" s="109">
        <v>29275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136320.57999999999</v>
      </c>
      <c r="L31" s="110"/>
      <c r="M31" s="110"/>
      <c r="N31" s="110"/>
      <c r="O31" s="109"/>
      <c r="P31" s="293"/>
      <c r="Q31" s="110">
        <v>-115320.59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93805</v>
      </c>
      <c r="K32" s="289"/>
      <c r="L32" s="289"/>
      <c r="M32" s="289"/>
      <c r="N32" s="289"/>
      <c r="O32" s="293"/>
      <c r="P32" s="109">
        <v>67194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11483506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11483506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13083171</v>
      </c>
      <c r="E36" s="110">
        <v>13083171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527211</v>
      </c>
      <c r="E38" s="288"/>
      <c r="F38" s="288"/>
      <c r="G38" s="288"/>
      <c r="H38" s="288"/>
      <c r="I38" s="292"/>
      <c r="J38" s="109">
        <v>1692146</v>
      </c>
      <c r="K38" s="288"/>
      <c r="L38" s="288"/>
      <c r="M38" s="288"/>
      <c r="N38" s="288"/>
      <c r="O38" s="292"/>
      <c r="P38" s="109">
        <v>1987651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27302546</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-38109.75</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-6204787</v>
      </c>
      <c r="E41" s="288"/>
      <c r="F41" s="288"/>
      <c r="G41" s="288"/>
      <c r="H41" s="288"/>
      <c r="I41" s="292"/>
      <c r="J41" s="109">
        <v>40490</v>
      </c>
      <c r="K41" s="288"/>
      <c r="L41" s="288"/>
      <c r="M41" s="288"/>
      <c r="N41" s="288"/>
      <c r="O41" s="292"/>
      <c r="P41" s="109">
        <v>-755725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-33177826</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12425.36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891150</v>
      </c>
      <c r="E43" s="289"/>
      <c r="F43" s="289"/>
      <c r="G43" s="289"/>
      <c r="H43" s="289"/>
      <c r="I43" s="293"/>
      <c r="J43" s="109">
        <v>5019516</v>
      </c>
      <c r="K43" s="289"/>
      <c r="L43" s="289"/>
      <c r="M43" s="289"/>
      <c r="N43" s="289"/>
      <c r="O43" s="293"/>
      <c r="P43" s="109">
        <v>3526033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-44753665</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446</v>
      </c>
      <c r="K46" s="110"/>
      <c r="L46" s="110"/>
      <c r="M46" s="110"/>
      <c r="N46" s="110"/>
      <c r="O46" s="109"/>
      <c r="P46" s="109">
        <v>1517</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1286633</v>
      </c>
      <c r="AT46" s="113"/>
      <c r="AU46" s="113"/>
      <c r="AV46" s="311"/>
      <c r="AW46" s="318"/>
    </row>
    <row r="47" spans="2:49" x14ac:dyDescent="0.2">
      <c r="B47" s="176" t="s">
        <v>117</v>
      </c>
      <c r="C47" s="133" t="s">
        <v>32</v>
      </c>
      <c r="D47" s="109"/>
      <c r="E47" s="289"/>
      <c r="F47" s="289"/>
      <c r="G47" s="289"/>
      <c r="H47" s="289"/>
      <c r="I47" s="293"/>
      <c r="J47" s="109">
        <v>446</v>
      </c>
      <c r="K47" s="289"/>
      <c r="L47" s="289"/>
      <c r="M47" s="289"/>
      <c r="N47" s="289"/>
      <c r="O47" s="293"/>
      <c r="P47" s="109">
        <v>1517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140594</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230384</v>
      </c>
      <c r="E49" s="110">
        <v>818219.21</v>
      </c>
      <c r="F49" s="110"/>
      <c r="G49" s="110"/>
      <c r="H49" s="110"/>
      <c r="I49" s="109">
        <v>491732.45</v>
      </c>
      <c r="J49" s="109">
        <v>2051239</v>
      </c>
      <c r="K49" s="110">
        <v>5894265.4981280388</v>
      </c>
      <c r="L49" s="110"/>
      <c r="M49" s="110"/>
      <c r="N49" s="110"/>
      <c r="O49" s="109"/>
      <c r="P49" s="109">
        <v>1373174</v>
      </c>
      <c r="Q49" s="110">
        <v>7838422.3518719533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32585778</v>
      </c>
      <c r="AT49" s="113">
        <v>4</v>
      </c>
      <c r="AU49" s="113"/>
      <c r="AV49" s="311"/>
      <c r="AW49" s="318"/>
    </row>
    <row r="50" spans="2:49" x14ac:dyDescent="0.2">
      <c r="B50" s="176" t="s">
        <v>119</v>
      </c>
      <c r="C50" s="133" t="s">
        <v>34</v>
      </c>
      <c r="D50" s="109">
        <v>116212</v>
      </c>
      <c r="E50" s="289"/>
      <c r="F50" s="289"/>
      <c r="G50" s="289"/>
      <c r="H50" s="289"/>
      <c r="I50" s="293"/>
      <c r="J50" s="109">
        <v>1077920</v>
      </c>
      <c r="K50" s="289"/>
      <c r="L50" s="289"/>
      <c r="M50" s="289"/>
      <c r="N50" s="289"/>
      <c r="O50" s="293"/>
      <c r="P50" s="109">
        <v>1684516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13561597</v>
      </c>
      <c r="AT50" s="113">
        <v>165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552594</v>
      </c>
      <c r="L53" s="110">
        <v>1197946</v>
      </c>
      <c r="M53" s="110"/>
      <c r="N53" s="110"/>
      <c r="O53" s="109"/>
      <c r="P53" s="109"/>
      <c r="Q53" s="110">
        <v>-809654</v>
      </c>
      <c r="R53" s="110">
        <v>1473208</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127171775</v>
      </c>
      <c r="E54" s="115">
        <f>E24+E27+E31+E35-E36+E39+E42+E45+E46-E49+E51+E52+E53</f>
        <v>143457053.71125755</v>
      </c>
      <c r="F54" s="115">
        <f>F24+F27+F31+F35-F36+F39+F42+F45+F46-F49+F51+F52+F53</f>
        <v>3119683.2615</v>
      </c>
      <c r="G54" s="115">
        <f>G24+G27+G31+G35-G36+G39+G42+G45+G46-G49+G51+G52+G53</f>
        <v>0</v>
      </c>
      <c r="H54" s="115">
        <f>H24+H27+H31+H35-H36+H39+H42+H45+H46-H49+H51+H52+H53</f>
        <v>0</v>
      </c>
      <c r="I54" s="114">
        <f>I24+I27+I31+I35-I36+I39+I42+I45+I46-I49+I51+I52+I53</f>
        <v>109011809.14999999</v>
      </c>
      <c r="J54" s="114">
        <f>J23+J26-J28+J30-J32+J34-J36+J38+J41-J43+J45+J46-J47-J49+J50+J51+J52+J53</f>
        <v>273415826</v>
      </c>
      <c r="K54" s="115">
        <f>K24+K27+K31+K35-K36+K39+K42+K45+K46-K49+K51+K52+K53</f>
        <v>283285150.30498099</v>
      </c>
      <c r="L54" s="115">
        <f>L24+L27+L31+L35-L36+L39+L42+L45+L46-L49+L51+L52+L53</f>
        <v>21825946.538899999</v>
      </c>
      <c r="M54" s="115">
        <f>M24+M27+M31+M35-M36+M39+M42+M45+M46-M49+M51+M52+M53</f>
        <v>0</v>
      </c>
      <c r="N54" s="115">
        <f>N24+N27+N31+N35-N36+N39+N42+N45+N46-N49+N51+N52+N53</f>
        <v>0</v>
      </c>
      <c r="O54" s="114">
        <f>O24+O27+O31+O35-O36+O39+O42+O45+O46-O49+O51+O52+O53</f>
        <v>0</v>
      </c>
      <c r="P54" s="114">
        <f>P23+P26-P28+P30-P32+P34-P36+P38+P41-P43+P45+P46-P47-P49+P50+P51+P52+P53</f>
        <v>401478254</v>
      </c>
      <c r="Q54" s="115">
        <f>Q24+Q27+Q31+Q35-Q36+Q39+Q42+Q45+Q46-Q49+Q51+Q52+Q53</f>
        <v>437796777.43046153</v>
      </c>
      <c r="R54" s="115">
        <f>R24+R27+R31+R35-R36+R39+R42+R45+R46-R49+R51+R52+R53</f>
        <v>16847915.9705</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3891828139</v>
      </c>
      <c r="AT54" s="116">
        <f>AT23+AT26-AT28+AT30-AT32+AT34-AT36+AT38+AT41-AT43+AT45+AT46-AT47-AT49+AT50+AT51+AT52+AT53</f>
        <v>5717495</v>
      </c>
      <c r="AU54" s="116">
        <f>AU23+AU26-AU28+AU30-AU32+AU34-AU36+AU38+AU41-AU43+AU45+AU46-AU47-AU49+AU50+AU51+AU52+AU53</f>
        <v>0</v>
      </c>
      <c r="AV54" s="311"/>
      <c r="AW54" s="318"/>
    </row>
    <row r="55" spans="2:49" ht="25.5" x14ac:dyDescent="0.2">
      <c r="B55" s="181" t="s">
        <v>304</v>
      </c>
      <c r="C55" s="137" t="s">
        <v>28</v>
      </c>
      <c r="D55" s="114">
        <v>118384</v>
      </c>
      <c r="E55" s="115">
        <v>125937.2</v>
      </c>
      <c r="F55" s="115">
        <v>0</v>
      </c>
      <c r="G55" s="115">
        <v>0</v>
      </c>
      <c r="H55" s="115">
        <v>0</v>
      </c>
      <c r="I55" s="114">
        <v>8396</v>
      </c>
      <c r="J55" s="114">
        <v>382214</v>
      </c>
      <c r="K55" s="115">
        <v>383239.72</v>
      </c>
      <c r="L55" s="115">
        <v>0</v>
      </c>
      <c r="M55" s="115">
        <v>0</v>
      </c>
      <c r="N55" s="115">
        <v>0</v>
      </c>
      <c r="O55" s="114">
        <v>0</v>
      </c>
      <c r="P55" s="114">
        <v>881194</v>
      </c>
      <c r="Q55" s="115">
        <v>881968.74</v>
      </c>
      <c r="R55" s="115">
        <v>0</v>
      </c>
      <c r="S55" s="115">
        <v>0</v>
      </c>
      <c r="T55" s="115">
        <v>0</v>
      </c>
      <c r="U55" s="114">
        <f t="shared" ref="U55:AC55" si="0">MIN(MAX(0,U56),MAX(0,U57))</f>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187386</v>
      </c>
      <c r="E56" s="110">
        <v>193387.51</v>
      </c>
      <c r="F56" s="110"/>
      <c r="G56" s="110"/>
      <c r="H56" s="110"/>
      <c r="I56" s="109">
        <v>83542</v>
      </c>
      <c r="J56" s="109">
        <v>512160</v>
      </c>
      <c r="K56" s="110">
        <v>513108.17</v>
      </c>
      <c r="L56" s="110"/>
      <c r="M56" s="110"/>
      <c r="N56" s="110"/>
      <c r="O56" s="109"/>
      <c r="P56" s="109">
        <v>888784</v>
      </c>
      <c r="Q56" s="110">
        <v>889387.89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118384</v>
      </c>
      <c r="E57" s="110">
        <v>125937.2</v>
      </c>
      <c r="F57" s="110"/>
      <c r="G57" s="110"/>
      <c r="H57" s="110"/>
      <c r="I57" s="109">
        <v>8396</v>
      </c>
      <c r="J57" s="109">
        <v>760828</v>
      </c>
      <c r="K57" s="110">
        <v>810268.67999999993</v>
      </c>
      <c r="L57" s="110"/>
      <c r="M57" s="110"/>
      <c r="N57" s="110"/>
      <c r="O57" s="109"/>
      <c r="P57" s="109">
        <v>1501919</v>
      </c>
      <c r="Q57" s="110">
        <v>1551250.22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16275638</v>
      </c>
      <c r="AT57" s="113">
        <v>607</v>
      </c>
      <c r="AU57" s="113"/>
      <c r="AV57" s="113"/>
      <c r="AW57" s="318"/>
    </row>
    <row r="58" spans="2:49" s="5" customFormat="1" x14ac:dyDescent="0.2">
      <c r="B58" s="184" t="s">
        <v>484</v>
      </c>
      <c r="C58" s="185"/>
      <c r="D58" s="186"/>
      <c r="E58" s="187">
        <v>4217495.2600000054</v>
      </c>
      <c r="F58" s="187"/>
      <c r="G58" s="187"/>
      <c r="H58" s="187"/>
      <c r="I58" s="186">
        <v>4217495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41584776.709999993</v>
      </c>
      <c r="D5" s="118">
        <v>50322602.28686969</v>
      </c>
      <c r="E5" s="346"/>
      <c r="F5" s="346"/>
      <c r="G5" s="312"/>
      <c r="H5" s="117">
        <v>214365499.69</v>
      </c>
      <c r="I5" s="118">
        <v>239775499.92606461</v>
      </c>
      <c r="J5" s="346"/>
      <c r="K5" s="346"/>
      <c r="L5" s="312"/>
      <c r="M5" s="117">
        <v>486494747.99000001</v>
      </c>
      <c r="N5" s="118">
        <v>477579575.40176582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41543402.029999994</v>
      </c>
      <c r="D6" s="110">
        <v>49860795.787939534</v>
      </c>
      <c r="E6" s="115">
        <f>SUM('Pt 1 Summary of Data'!E$12,'Pt 1 Summary of Data'!E$22)+SUM('Pt 1 Summary of Data'!G$12,'Pt 1 Summary of Data'!G$22)-SUM('Pt 1 Summary of Data'!H$12,'Pt 1 Summary of Data'!H$22)</f>
        <v>143582990.91125754</v>
      </c>
      <c r="F6" s="115">
        <f t="shared" ref="F6:F11" si="0">SUM(C6:E6)</f>
        <v>234987188.72919706</v>
      </c>
      <c r="G6" s="116">
        <f>SUM('Pt 1 Summary of Data'!I$12,'Pt 1 Summary of Data'!I$22)</f>
        <v>109020205.14999999</v>
      </c>
      <c r="H6" s="109">
        <v>217932680.37920171</v>
      </c>
      <c r="I6" s="110">
        <v>238851740.05469832</v>
      </c>
      <c r="J6" s="115">
        <f>SUM('Pt 1 Summary of Data'!K$12,'Pt 1 Summary of Data'!K$22)+SUM('Pt 1 Summary of Data'!M$12,'Pt 1 Summary of Data'!M$22)-SUM('Pt 1 Summary of Data'!N$12,'Pt 1 Summary of Data'!N$22)</f>
        <v>283668390.02498102</v>
      </c>
      <c r="K6" s="115">
        <f>SUM(H6:J6)</f>
        <v>740452810.45888102</v>
      </c>
      <c r="L6" s="116">
        <f>SUM('Pt 1 Summary of Data'!O$12,'Pt 1 Summary of Data'!O$22)</f>
        <v>0</v>
      </c>
      <c r="M6" s="109">
        <v>494654907.85079825</v>
      </c>
      <c r="N6" s="110">
        <v>475638784.99306244</v>
      </c>
      <c r="O6" s="115">
        <f>SUM('Pt 1 Summary of Data'!Q$12,'Pt 1 Summary of Data'!Q$22)+SUM('Pt 1 Summary of Data'!S$12,'Pt 1 Summary of Data'!S$22)-SUM('Pt 1 Summary of Data'!T$12,'Pt 1 Summary of Data'!T$22)</f>
        <v>438678746.17046154</v>
      </c>
      <c r="P6" s="115">
        <f>SUM(M6:O6)</f>
        <v>1408972439.0143223</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1158397.6100000001</v>
      </c>
      <c r="D7" s="110">
        <v>1181775.8599999999</v>
      </c>
      <c r="E7" s="115">
        <f>SUM('Pt 1 Summary of Data'!E$37:E$41)+SUM('Pt 1 Summary of Data'!G$37:G$41)-SUM('Pt 1 Summary of Data'!H$37:H$41)+MAX(0,MIN('Pt 1 Summary of Data'!E$42+'Pt 1 Summary of Data'!G$42-'Pt 1 Summary of Data'!H$42,0.3%*('Pt 1 Summary of Data'!E$5+'Pt 1 Summary of Data'!G$5-'Pt 1 Summary of Data'!H$5-SUM(E$9:E$11))))</f>
        <v>1296054.33</v>
      </c>
      <c r="F7" s="115">
        <f t="shared" si="0"/>
        <v>3636227.8</v>
      </c>
      <c r="G7" s="116">
        <f>SUM('Pt 1 Summary of Data'!I$37:I$41)+MAX(0,MIN('Pt 1 Summary of Data'!I$42,0.3%*('Pt 1 Summary of Data'!I$5-SUM(G$9:G$10))))</f>
        <v>446158.6</v>
      </c>
      <c r="H7" s="109">
        <v>6859060.2399999993</v>
      </c>
      <c r="I7" s="110">
        <v>6820576.879999999</v>
      </c>
      <c r="J7" s="115">
        <f>SUM('Pt 1 Summary of Data'!K$37:K$41)+SUM('Pt 1 Summary of Data'!M$37:M$41)-SUM('Pt 1 Summary of Data'!N$37:N$41)+MAX(0,MIN('Pt 1 Summary of Data'!K$42+'Pt 1 Summary of Data'!M$42-'Pt 1 Summary of Data'!N$42,0.3%*('Pt 1 Summary of Data'!K$5+'Pt 1 Summary of Data'!M$5-'Pt 1 Summary of Data'!N$5-SUM(J$10:J$11))))</f>
        <v>7418971.7400000002</v>
      </c>
      <c r="K7" s="115">
        <f>SUM(H7:J7)</f>
        <v>21098608.859999999</v>
      </c>
      <c r="L7" s="116">
        <f>SUM('Pt 1 Summary of Data'!O$37:O$41)+MAX(0,MIN('Pt 1 Summary of Data'!O$42,0.3%*('Pt 1 Summary of Data'!O$5-L$10)))</f>
        <v>0</v>
      </c>
      <c r="M7" s="109">
        <v>12464225.629999999</v>
      </c>
      <c r="N7" s="110">
        <v>10832660.539999997</v>
      </c>
      <c r="O7" s="115">
        <f>SUM('Pt 1 Summary of Data'!Q$37:Q$41)+SUM('Pt 1 Summary of Data'!S$37:S$41)-SUM('Pt 1 Summary of Data'!T$37:T$41)+MAX(0,MIN('Pt 1 Summary of Data'!Q$42+'Pt 1 Summary of Data'!S$42-'Pt 1 Summary of Data'!T$42,0.3%*('Pt 1 Summary of Data'!Q$5+'Pt 1 Summary of Data'!S$5-'Pt 1 Summary of Data'!T$5)))</f>
        <v>9296379.120000001</v>
      </c>
      <c r="P7" s="115">
        <f>SUM(M7:O7)</f>
        <v>32593265.289999995</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v>4217495.2600000054</v>
      </c>
      <c r="F8" s="269">
        <f t="shared" si="0"/>
        <v>4217495.2600000054</v>
      </c>
      <c r="G8" s="270">
        <v>4217495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22524616.039999999</v>
      </c>
      <c r="F9" s="115">
        <f t="shared" si="0"/>
        <v>22524616.039999999</v>
      </c>
      <c r="G9" s="116">
        <f>'Pt 2 Premium and Claims'!I$15</f>
        <v>22524616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6147169.1900000004</v>
      </c>
      <c r="F10" s="115">
        <f t="shared" si="0"/>
        <v>6147169.1900000004</v>
      </c>
      <c r="G10" s="116">
        <f>'Pt 2 Premium and Claims'!I$16</f>
        <v>6147169</v>
      </c>
      <c r="H10" s="292"/>
      <c r="I10" s="288"/>
      <c r="J10" s="115">
        <f>'Pt 2 Premium and Claims'!K$16+'Pt 2 Premium and Claims'!M$16-'Pt 2 Premium and Claims'!N$16</f>
        <v>-7021831.9899999993</v>
      </c>
      <c r="K10" s="115">
        <f>SUM(H10:J10)</f>
        <v>-7021831.9899999993</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11357442</v>
      </c>
      <c r="F11" s="115">
        <f t="shared" si="0"/>
        <v>11357442</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42701799.639999993</v>
      </c>
      <c r="D12" s="115">
        <f>SUM(D$6:D$7)+IF(AND(OR('Company Information'!$C$12="District of Columbia",'Company Information'!$C$12="Massachusetts",'Company Information'!$C$12="Vermont"),SUM($C$6:$F$11,$C$15:$F$16,$C$37:$D$37)&lt;&gt;0),SUM(I$6:I$7),0)</f>
        <v>51042571.647939533</v>
      </c>
      <c r="E12" s="115">
        <f>SUM(E$6:E$7)-SUM(E$8:E$11)+IF(AND(OR('Company Information'!$C$12="District of Columbia",'Company Information'!$C$12="Massachusetts",'Company Information'!$C$12="Vermont"),SUM($C$6:$F$11,$C$15:$F$16,$C$37:$D$37)&lt;&gt;0),SUM(J$6:J$7)-SUM(J$10:J$11),0)</f>
        <v>100632322.75125754</v>
      </c>
      <c r="F12" s="115">
        <f>IFERROR(SUM(C$12:E$12)+C$17*MAX(0,E$49-C$49)+D$17*MAX(0,E$49-D$49),0)</f>
        <v>194376694.03919706</v>
      </c>
      <c r="G12" s="311"/>
      <c r="H12" s="114">
        <f>SUM(H$6:H$7)+IF(AND(OR('Company Information'!$C$12="District of Columbia",'Company Information'!$C$12="Massachusetts",'Company Information'!$C$12="Vermont"),SUM($H$6:$K$11,$H$15:$K$16,$H$37:$I$37)&lt;&gt;0),SUM(C$6:C$7),0)</f>
        <v>224791740.61920172</v>
      </c>
      <c r="I12" s="115">
        <f>SUM(I$6:I$7)+IF(AND(OR('Company Information'!$C$12="District of Columbia",'Company Information'!$C$12="Massachusetts",'Company Information'!$C$12="Vermont"),SUM($H$6:$K$11,$H$15:$K$16,$H$37:$I$37)&lt;&gt;0),SUM(D$6:D$7),0)</f>
        <v>245672316.93469831</v>
      </c>
      <c r="J12" s="115">
        <f>SUM(J$6:J$7)-SUM(J$10:J$11)+IF(AND(OR('Company Information'!$C$12="District of Columbia",'Company Information'!$C$12="Massachusetts",'Company Information'!$C$12="Vermont"),SUM($H$6:$K$11,$H$15:$K$16,$H$37:$I$37)&lt;&gt;0),SUM(E$6:E$7)-SUM(E$8:E$11),0)</f>
        <v>298109193.75498104</v>
      </c>
      <c r="K12" s="115">
        <f>IFERROR(SUM(H$12:J$12)+H$17*MAX(0,J$49-H$49)+I$17*MAX(0,J$49-I$49),0)</f>
        <v>768573251.30888104</v>
      </c>
      <c r="L12" s="311"/>
      <c r="M12" s="114">
        <f>SUM(M$6:M$7)</f>
        <v>507119133.48079824</v>
      </c>
      <c r="N12" s="115">
        <f>SUM(N$6:N$7)</f>
        <v>486471445.53306246</v>
      </c>
      <c r="O12" s="115">
        <f>SUM(O$6:O$7)</f>
        <v>447975125.29046154</v>
      </c>
      <c r="P12" s="115">
        <f>SUM(M$12:O$12)+M$17*MAX(0,O$49-M$49)+N$17*MAX(0,O$49-N$49)</f>
        <v>1441565704.3043222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49273388.039999999</v>
      </c>
      <c r="D15" s="118">
        <v>61367385.838001542</v>
      </c>
      <c r="E15" s="106">
        <f>SUM('Pt 1 Summary of Data'!E$5:E$7)+SUM('Pt 1 Summary of Data'!G$5:G$7)-SUM('Pt 1 Summary of Data'!H$5:H$7)-SUM(E$9:E$11)+D$55</f>
        <v>122175681.54615861</v>
      </c>
      <c r="F15" s="106">
        <f>SUM(C15:E15)</f>
        <v>232816455.42416015</v>
      </c>
      <c r="G15" s="107">
        <f>SUM('Pt 1 Summary of Data'!I$5:I$7)-SUM(G$9:G$10)</f>
        <v>70966445</v>
      </c>
      <c r="H15" s="117">
        <v>289672331.63999999</v>
      </c>
      <c r="I15" s="118">
        <v>310269596.38128221</v>
      </c>
      <c r="J15" s="106">
        <f>SUM('Pt 1 Summary of Data'!K$5:K$7)+SUM('Pt 1 Summary of Data'!M$5:M$7)-SUM('Pt 1 Summary of Data'!N$5:N$7)-SUM(J$10:J$11)+I$55</f>
        <v>354261271.57561445</v>
      </c>
      <c r="K15" s="106">
        <f>SUM(H15:J15)</f>
        <v>954203199.59689665</v>
      </c>
      <c r="L15" s="107">
        <f>SUM('Pt 1 Summary of Data'!O$5:O$7)-L$10</f>
        <v>0</v>
      </c>
      <c r="M15" s="117">
        <v>581556923.11000001</v>
      </c>
      <c r="N15" s="118">
        <v>568723768.20721126</v>
      </c>
      <c r="O15" s="106">
        <f>SUM('Pt 1 Summary of Data'!Q$5:Q$7)+SUM('Pt 1 Summary of Data'!S$5:S$7)-SUM('Pt 1 Summary of Data'!T$5:T$7)+N$55</f>
        <v>528579348.79646897</v>
      </c>
      <c r="P15" s="106">
        <f>SUM(M15:O15)</f>
        <v>1678860040.1136801</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-785007.52000000014</v>
      </c>
      <c r="D16" s="110">
        <v>-706567.53973689</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4660531.4466198515</v>
      </c>
      <c r="F16" s="115">
        <f>SUM(C16:E16)</f>
        <v>3168956.3868829613</v>
      </c>
      <c r="G16" s="116">
        <f>SUM('Pt 1 Summary of Data'!I$25:I$28,'Pt 1 Summary of Data'!I$30,'Pt 1 Summary of Data'!I$34:I$35)+IF('Company Information'!$C$15="No",IF(MAX('Pt 1 Summary of Data'!I$31:I$32)=0,MIN('Pt 1 Summary of Data'!I$31:I$32),MAX('Pt 1 Summary of Data'!I$31:I$32)),SUM('Pt 1 Summary of Data'!I$31:I$32))</f>
        <v>-179161</v>
      </c>
      <c r="H16" s="109">
        <v>6905696.8000000007</v>
      </c>
      <c r="I16" s="110">
        <v>6746495.212178885</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13610363.821328469</v>
      </c>
      <c r="K16" s="115">
        <f>SUM(H16:J16)</f>
        <v>27262555.833507355</v>
      </c>
      <c r="L16" s="116">
        <f>SUM('Pt 1 Summary of Data'!O$25:O$28,'Pt 1 Summary of Data'!O$30,'Pt 1 Summary of Data'!O$34:O$35)+IF('Company Information'!$C$15="No",IF(MAX('Pt 1 Summary of Data'!O$31:O$32)=0,MIN('Pt 1 Summary of Data'!O$31:O$32),MAX('Pt 1 Summary of Data'!O$31:O$32)),SUM('Pt 1 Summary of Data'!O$31:O$32))</f>
        <v>0</v>
      </c>
      <c r="M16" s="109">
        <v>8163962.959999999</v>
      </c>
      <c r="N16" s="110">
        <v>9929887.8146273196</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19158111.301034529</v>
      </c>
      <c r="P16" s="115">
        <f>SUM(M16:O16)</f>
        <v>37251962.075661853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50058395.560000002</v>
      </c>
      <c r="D17" s="115">
        <f>D$15-D$16+IF(AND(OR('Company Information'!$C$12="District of Columbia",'Company Information'!$C$12="Massachusetts",'Company Information'!$C$12="Vermont"),SUM($C$6:$F$11,$C$15:$F$16,$C$37:$D$37)&lt;&gt;0),I$15-I$16,0)</f>
        <v>62073953.377738431</v>
      </c>
      <c r="E17" s="115">
        <f>E$15-E$16+IF(AND(OR('Company Information'!$C$12="District of Columbia",'Company Information'!$C$12="Massachusetts",'Company Information'!$C$12="Vermont"),SUM($C$6:$F$11,$C$15:$F$16,$C$37:$D$37)&lt;&gt;0),J$15-J$16,0)</f>
        <v>117515150.09953876</v>
      </c>
      <c r="F17" s="115">
        <f>F$15-F$16+IF(AND(OR('Company Information'!$C$12="District of Columbia",'Company Information'!$C$12="Massachusetts",'Company Information'!$C$12="Vermont"),SUM($C$6:$F$11,$C$15:$F$16,$C$37:$D$37)&lt;&gt;0),K$15-K$16,0)</f>
        <v>229647499.03727719</v>
      </c>
      <c r="G17" s="314"/>
      <c r="H17" s="114">
        <f>H$15-H$16+IF(AND(OR('Company Information'!$C$12="District of Columbia",'Company Information'!$C$12="Massachusetts",'Company Information'!$C$12="Vermont"),SUM($H$6:$K$11,$H$15:$K$16,$H$37:$I$37)&lt;&gt;0),C$15-C$16,0)</f>
        <v>282766634.83999997</v>
      </c>
      <c r="I17" s="115">
        <f>I$15-I$16+IF(AND(OR('Company Information'!$C$12="District of Columbia",'Company Information'!$C$12="Massachusetts",'Company Information'!$C$12="Vermont"),SUM($H$6:$K$11,$H$15:$K$16,$H$37:$I$37)&lt;&gt;0),D$15-D$16,0)</f>
        <v>303523101.16910332</v>
      </c>
      <c r="J17" s="115">
        <f>J$15-J$16+IF(AND(OR('Company Information'!$C$12="District of Columbia",'Company Information'!$C$12="Massachusetts",'Company Information'!$C$12="Vermont"),SUM($H$6:$K$11,$H$15:$K$16,$H$37:$I$37)&lt;&gt;0),E$15-E$16,0)</f>
        <v>340650907.75428599</v>
      </c>
      <c r="K17" s="115">
        <f>K$15-K$16+IF(AND(OR('Company Information'!$C$12="District of Columbia",'Company Information'!$C$12="Massachusetts",'Company Information'!$C$12="Vermont"),SUM($H$6:$K$11,$H$15:$K$16,$H$37:$I$37)&lt;&gt;0),F$15-F$16,0)</f>
        <v>926940643.76338935</v>
      </c>
      <c r="L17" s="314"/>
      <c r="M17" s="114">
        <f>M$15-M$16</f>
        <v>573392960.14999998</v>
      </c>
      <c r="N17" s="115">
        <f>N$15-N$16</f>
        <v>558793880.39258397</v>
      </c>
      <c r="O17" s="115">
        <f>O$15-O$16</f>
        <v>509421237.49543446</v>
      </c>
      <c r="P17" s="115">
        <f>P$15-P$16</f>
        <v>1641608078.0380182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76577083.749999985</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9673856</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1.0763431230032672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0.16189999999999999</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13652841.791399999</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-15105333.749999985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13652841.791399999</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23147536.7914</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23147536.7914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25568433.8114</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14049960.200000001</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47818908.2086</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14049960.200000001</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56916484.799999997</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1.3454289037540841</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13195968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11357442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27283.333333333336</v>
      </c>
      <c r="D37" s="122">
        <v>32753</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46212.083333333336</v>
      </c>
      <c r="F37" s="256">
        <f>SUM(C$37:E$37)+IF(AND(OR('Company Information'!$C$12="District of Columbia",'Company Information'!$C$12="Massachusetts",'Company Information'!$C$12="Vermont"),SUM($C$6:$F$11,$C$15:$F$16,$C$37:$D$37)&lt;&gt;0,SUM(C$37:D$37)&lt;&gt;SUM(H$37:I$37)),SUM(H$37:I$37),0)</f>
        <v>106248.41666666667</v>
      </c>
      <c r="G37" s="312"/>
      <c r="H37" s="121">
        <v>76447.833333333328</v>
      </c>
      <c r="I37" s="122">
        <v>79957</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88727.333333333328</v>
      </c>
      <c r="K37" s="256">
        <f>SUM(H$37:J$37)+IF(AND(OR('Company Information'!$C$12="District of Columbia",'Company Information'!$C$12="Massachusetts",'Company Information'!$C$12="Vermont"),SUM($H$6:$K$11,$H$15:$K$16,$H$37:$I$37)&lt;&gt;0,SUM(H$37:I$37)&lt;&gt;SUM(C$37:D$37)),SUM(C$37:D$37),0)</f>
        <v>245132.16666666663</v>
      </c>
      <c r="L37" s="312"/>
      <c r="M37" s="121">
        <v>130500.75000000001</v>
      </c>
      <c r="N37" s="122">
        <v>124477</v>
      </c>
      <c r="O37" s="256">
        <f>('Pt 1 Summary of Data'!Q$59+'Pt 1 Summary of Data'!S$59-'Pt 1 Summary of Data'!T$59)/12</f>
        <v>109992.08333333333</v>
      </c>
      <c r="P37" s="256">
        <f>SUM(M$37:O$37)</f>
        <v>364969.83333333331</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8821.5523697624631</v>
      </c>
      <c r="G39" s="311"/>
      <c r="H39" s="292"/>
      <c r="I39" s="288"/>
      <c r="J39" s="288"/>
      <c r="K39" s="110">
        <v>2718.656772543809</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1.6572796983001326</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1.1848161247461706</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0.85303971815911694</v>
      </c>
      <c r="D44" s="260">
        <f>IF(OR(D$37&lt;1000,D$17&lt;=0),"",D$12/D$17)</f>
        <v>0.8222864642973573</v>
      </c>
      <c r="E44" s="260">
        <f>IF(OR(E$37&lt;1000,E$17&lt;=0),"",E$12/E$17)</f>
        <v>0.85633488674455194</v>
      </c>
      <c r="F44" s="260">
        <f>IF(OR(F$37&lt;1000,F$17&lt;=0),"",F$12/F$17)</f>
        <v>0.84641328494348267</v>
      </c>
      <c r="G44" s="311"/>
      <c r="H44" s="262">
        <f>IF(OR(H$37&lt;1000,H$17&lt;=0),"",H$12/H$17)</f>
        <v>0.79497264854602578</v>
      </c>
      <c r="I44" s="260">
        <f>IF(OR(I$37&lt;1000,I$17&lt;=0),"",I$12/I$17)</f>
        <v>0.8094023683483178</v>
      </c>
      <c r="J44" s="260">
        <f>IF(OR(J$37&lt;1000,J$17&lt;=0),"",J$12/J$17)</f>
        <v>0.8751163932608963</v>
      </c>
      <c r="K44" s="260">
        <f>IF(OR(K$37&lt;1000,K$17&lt;=0),"",K$12/K$17)</f>
        <v>0.82915044936260973</v>
      </c>
      <c r="L44" s="311"/>
      <c r="M44" s="262">
        <f>IF(OR(M$37&lt;1000,M$17&lt;=0),"",M$12/M$17)</f>
        <v>0.88441813681865844</v>
      </c>
      <c r="N44" s="260">
        <f>IF(OR(N$37&lt;1000,N$17&lt;=0),"",N$12/N$17)</f>
        <v>0.87057403919901388</v>
      </c>
      <c r="O44" s="260">
        <f>IF(OR(O$37&lt;1000,O$17&lt;=0),"",O$12/O$17)</f>
        <v>0.87938054466069715</v>
      </c>
      <c r="P44" s="260">
        <f>IF(OR(P$37&lt;1000,P$17&lt;=0),"",P$12/P$17)</f>
        <v>0.87814242850657853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IF(F$44="","",F$41)</f>
        <v>0</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IF(F$44="","",ROUND(F$44+MAX(0,F$46),3))</f>
        <v>0.84599999999999997</v>
      </c>
      <c r="G47" s="311"/>
      <c r="H47" s="292"/>
      <c r="I47" s="288"/>
      <c r="J47" s="288"/>
      <c r="K47" s="260">
        <f>IF(K$44="","",ROUND(K$44+MAX(0,K$46),3))</f>
        <v>0.82899999999999996</v>
      </c>
      <c r="L47" s="311"/>
      <c r="M47" s="292"/>
      <c r="N47" s="288"/>
      <c r="O47" s="288"/>
      <c r="P47" s="260">
        <f>IF(P$44="","",ROUND(P$44+MAX(0,P$46),3))</f>
        <v>0.878</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0.84599999999999997</v>
      </c>
      <c r="G50" s="311"/>
      <c r="H50" s="293"/>
      <c r="I50" s="289"/>
      <c r="J50" s="289"/>
      <c r="K50" s="260">
        <f>K$47</f>
        <v>0.82899999999999996</v>
      </c>
      <c r="L50" s="311"/>
      <c r="M50" s="293"/>
      <c r="N50" s="289"/>
      <c r="O50" s="289"/>
      <c r="P50" s="260">
        <f>P$47</f>
        <v>0.878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117515150.09953876</v>
      </c>
      <c r="G51" s="311"/>
      <c r="H51" s="292"/>
      <c r="I51" s="288"/>
      <c r="J51" s="288"/>
      <c r="K51" s="115">
        <f>IF(K$37&lt;1000,"",MAX(0,J$15-J$16))</f>
        <v>340650907.75428599</v>
      </c>
      <c r="L51" s="311"/>
      <c r="M51" s="292"/>
      <c r="N51" s="288"/>
      <c r="O51" s="288"/>
      <c r="P51" s="115">
        <f>IF(P$37&lt;1000,"",MAX(0,O$15-O$16))</f>
        <v>509421237.49543446</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v>144890.1403</v>
      </c>
      <c r="L52" s="311"/>
      <c r="M52" s="292"/>
      <c r="N52" s="288"/>
      <c r="O52" s="288"/>
      <c r="P52" s="115">
        <v>2494418.9720999999</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644844.36225156905</v>
      </c>
      <c r="E55" s="288"/>
      <c r="F55" s="288"/>
      <c r="G55" s="311"/>
      <c r="H55" s="292"/>
      <c r="I55" s="110">
        <v>1759831.8849350933</v>
      </c>
      <c r="J55" s="288"/>
      <c r="K55" s="288"/>
      <c r="L55" s="311"/>
      <c r="M55" s="292"/>
      <c r="N55" s="110">
        <v>1647949.4153058215</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-7597.4154956734947</v>
      </c>
      <c r="E56" s="288"/>
      <c r="F56" s="288"/>
      <c r="G56" s="311"/>
      <c r="H56" s="292"/>
      <c r="I56" s="110">
        <v>41023.384311214279</v>
      </c>
      <c r="J56" s="288"/>
      <c r="K56" s="288"/>
      <c r="L56" s="311"/>
      <c r="M56" s="292"/>
      <c r="N56" s="110">
        <v>32086.212006151341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27582</v>
      </c>
      <c r="D4" s="149">
        <f>'Pt 1 Summary of Data'!$K$56+'Pt 1 Summary of Data'!$M$56-'Pt 1 Summary of Data'!$N$56</f>
        <v>59283</v>
      </c>
      <c r="E4" s="149">
        <f>'Pt 1 Summary of Data'!$Q$56+'Pt 1 Summary of Data'!$S$56-'Pt 1 Summary of Data'!$T$56</f>
        <v>60645</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v>1071</v>
      </c>
      <c r="E6" s="123">
        <v>682</v>
      </c>
      <c r="F6" s="363"/>
      <c r="G6" s="123"/>
      <c r="H6" s="123"/>
      <c r="I6" s="363"/>
      <c r="J6" s="363"/>
      <c r="K6" s="372"/>
    </row>
    <row r="7" spans="2:11" x14ac:dyDescent="0.2">
      <c r="B7" s="155" t="s">
        <v>102</v>
      </c>
      <c r="C7" s="124"/>
      <c r="D7" s="126">
        <v>107</v>
      </c>
      <c r="E7" s="126">
        <v>2613</v>
      </c>
      <c r="F7" s="126"/>
      <c r="G7" s="126"/>
      <c r="H7" s="126"/>
      <c r="I7" s="374"/>
      <c r="J7" s="374"/>
      <c r="K7" s="209"/>
    </row>
    <row r="8" spans="2:11" x14ac:dyDescent="0.2">
      <c r="B8" s="155" t="s">
        <v>103</v>
      </c>
      <c r="C8" s="361"/>
      <c r="D8" s="126">
        <v>78</v>
      </c>
      <c r="E8" s="126">
        <v>2</v>
      </c>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144890.1403</v>
      </c>
      <c r="E11" s="119">
        <f>'Pt 3 MLR and Rebate Calculation'!$P$52</f>
        <v>2494418.9720999999</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v>-195.59</v>
      </c>
      <c r="E12" s="113">
        <v>20.58</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144890.1403</v>
      </c>
      <c r="E14" s="113">
        <v>2494418.9720999999</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527210.75180266111</v>
      </c>
      <c r="D16" s="119">
        <v>1632114.1253059995</v>
      </c>
      <c r="E16" s="119">
        <v>1242796.4358902345</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v>1</v>
      </c>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47079.629999999932</v>
      </c>
      <c r="D22" s="212">
        <v>72126.909999999989</v>
      </c>
      <c r="E22" s="212">
        <v>21065.829999999998</v>
      </c>
      <c r="F22" s="212"/>
      <c r="G22" s="212"/>
      <c r="H22" s="212"/>
      <c r="I22" s="359"/>
      <c r="J22" s="359"/>
      <c r="K22" s="368"/>
    </row>
    <row r="23" spans="2:12" s="5" customFormat="1" ht="100.15" customHeight="1" x14ac:dyDescent="0.2">
      <c r="B23" s="102" t="s">
        <v>212</v>
      </c>
      <c r="C23" s="381" t="s">
        <v>534</v>
      </c>
      <c r="D23" s="382"/>
      <c r="E23" s="382"/>
      <c r="F23" s="382"/>
      <c r="G23" s="382"/>
      <c r="H23" s="382"/>
      <c r="I23" s="382"/>
      <c r="J23" s="382"/>
      <c r="K23" s="383"/>
    </row>
    <row r="24" spans="2:12" s="5" customFormat="1" ht="100.15" customHeight="1" x14ac:dyDescent="0.2">
      <c r="B24" s="101" t="s">
        <v>213</v>
      </c>
      <c r="C24" s="384" t="s">
        <v>535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504</v>
      </c>
      <c r="C12" s="28"/>
      <c r="D12" s="29"/>
      <c r="E12" s="29"/>
      <c r="F12" s="29"/>
      <c r="G12" s="29"/>
      <c r="H12" s="29"/>
      <c r="I12" s="27"/>
      <c r="J12" s="27"/>
      <c r="K12" s="2"/>
    </row>
    <row r="13" spans="1:12" s="5" customFormat="1" ht="18" customHeight="1" x14ac:dyDescent="0.2">
      <c r="B13" s="66" t="s">
        <v>509</v>
      </c>
      <c r="C13" s="28"/>
      <c r="D13" s="29"/>
      <c r="E13" s="29"/>
      <c r="F13" s="29"/>
      <c r="G13" s="29"/>
      <c r="H13" s="29"/>
      <c r="I13" s="27"/>
      <c r="J13" s="27"/>
      <c r="K13" s="2"/>
    </row>
    <row r="14" spans="1:12" s="5" customFormat="1" ht="18" customHeight="1" x14ac:dyDescent="0.2">
      <c r="B14" s="66" t="s">
        <v>510</v>
      </c>
      <c r="C14" s="28"/>
      <c r="D14" s="29"/>
      <c r="E14" s="29"/>
      <c r="F14" s="29"/>
      <c r="G14" s="29"/>
      <c r="H14" s="29"/>
      <c r="I14" s="27"/>
      <c r="J14" s="27"/>
      <c r="K14" s="2"/>
    </row>
    <row r="15" spans="1:12" s="5" customFormat="1" ht="18" customHeight="1" x14ac:dyDescent="0.2">
      <c r="B15" s="66" t="s">
        <v>511</v>
      </c>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512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513</v>
      </c>
      <c r="E27" s="7"/>
    </row>
    <row r="28" spans="2:5" ht="35.25" customHeight="1" x14ac:dyDescent="0.2">
      <c r="B28" s="219"/>
      <c r="C28" s="150"/>
      <c r="D28" s="222" t="s">
        <v>514</v>
      </c>
      <c r="E28" s="7"/>
    </row>
    <row r="29" spans="2:5" ht="35.25" customHeight="1" x14ac:dyDescent="0.2">
      <c r="B29" s="219"/>
      <c r="C29" s="150"/>
      <c r="D29" s="222" t="s">
        <v>515</v>
      </c>
      <c r="E29" s="7"/>
    </row>
    <row r="30" spans="2:5" ht="35.25" customHeight="1" x14ac:dyDescent="0.2">
      <c r="B30" s="219"/>
      <c r="C30" s="150"/>
      <c r="D30" s="222" t="s">
        <v>516</v>
      </c>
      <c r="E30" s="7"/>
    </row>
    <row r="31" spans="2:5" ht="35.25" customHeight="1" x14ac:dyDescent="0.2">
      <c r="B31" s="219"/>
      <c r="C31" s="150"/>
      <c r="D31" s="222" t="s">
        <v>517</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t="s">
        <v>521</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523</v>
      </c>
      <c r="E48" s="7"/>
    </row>
    <row r="49" spans="2:5" ht="35.25" customHeight="1" x14ac:dyDescent="0.2">
      <c r="B49" s="219"/>
      <c r="C49" s="150"/>
      <c r="D49" s="222" t="s">
        <v>524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t="s">
        <v>528</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525</v>
      </c>
      <c r="E67" s="7"/>
    </row>
    <row r="68" spans="2:5" ht="35.25" customHeight="1" x14ac:dyDescent="0.2">
      <c r="B68" s="219"/>
      <c r="C68" s="152"/>
      <c r="D68" s="222" t="s">
        <v>526</v>
      </c>
      <c r="E68" s="7"/>
    </row>
    <row r="69" spans="2:5" ht="35.25" customHeight="1" x14ac:dyDescent="0.2">
      <c r="B69" s="219"/>
      <c r="C69" s="152"/>
      <c r="D69" s="222" t="s">
        <v>527</v>
      </c>
      <c r="E69" s="7"/>
    </row>
    <row r="70" spans="2:5" ht="35.25" customHeight="1" x14ac:dyDescent="0.2">
      <c r="B70" s="219"/>
      <c r="C70" s="152"/>
      <c r="D70" s="222" t="s">
        <v>528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525</v>
      </c>
      <c r="E78" s="7"/>
    </row>
    <row r="79" spans="2:5" ht="35.25" customHeight="1" x14ac:dyDescent="0.2">
      <c r="B79" s="219"/>
      <c r="C79" s="152"/>
      <c r="D79" s="222" t="s">
        <v>526</v>
      </c>
      <c r="E79" s="7"/>
    </row>
    <row r="80" spans="2:5" ht="35.25" customHeight="1" x14ac:dyDescent="0.2">
      <c r="B80" s="219"/>
      <c r="C80" s="152"/>
      <c r="D80" s="222" t="s">
        <v>527</v>
      </c>
      <c r="E80" s="7"/>
    </row>
    <row r="81" spans="2:5" ht="35.25" customHeight="1" x14ac:dyDescent="0.2">
      <c r="B81" s="219"/>
      <c r="C81" s="152"/>
      <c r="D81" s="222" t="s">
        <v>528</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525</v>
      </c>
      <c r="E89" s="7"/>
    </row>
    <row r="90" spans="2:5" ht="35.25" customHeight="1" x14ac:dyDescent="0.2">
      <c r="B90" s="219"/>
      <c r="C90" s="152"/>
      <c r="D90" s="222" t="s">
        <v>526</v>
      </c>
      <c r="E90" s="7"/>
    </row>
    <row r="91" spans="2:5" ht="35.25" customHeight="1" x14ac:dyDescent="0.2">
      <c r="B91" s="219"/>
      <c r="C91" s="152"/>
      <c r="D91" s="222" t="s">
        <v>527</v>
      </c>
      <c r="E91" s="7"/>
    </row>
    <row r="92" spans="2:5" ht="35.25" customHeight="1" x14ac:dyDescent="0.2">
      <c r="B92" s="219"/>
      <c r="C92" s="152"/>
      <c r="D92" s="222" t="s">
        <v>528</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529</v>
      </c>
      <c r="E100" s="7"/>
    </row>
    <row r="101" spans="2:5" ht="35.25" customHeight="1" x14ac:dyDescent="0.2">
      <c r="B101" s="219"/>
      <c r="C101" s="152"/>
      <c r="D101" s="222" t="s">
        <v>530</v>
      </c>
      <c r="E101" s="7"/>
    </row>
    <row r="102" spans="2:5" ht="35.25" customHeight="1" x14ac:dyDescent="0.2">
      <c r="B102" s="219"/>
      <c r="C102" s="152"/>
      <c r="D102" s="222" t="s">
        <v>531</v>
      </c>
      <c r="E102" s="7"/>
    </row>
    <row r="103" spans="2:5" ht="35.25" customHeight="1" x14ac:dyDescent="0.2">
      <c r="B103" s="219"/>
      <c r="C103" s="152"/>
      <c r="D103" s="222" t="s">
        <v>532</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525</v>
      </c>
      <c r="E111" s="27"/>
    </row>
    <row r="112" spans="2:5" s="5" customFormat="1" ht="35.25" customHeight="1" x14ac:dyDescent="0.2">
      <c r="B112" s="219"/>
      <c r="C112" s="152"/>
      <c r="D112" s="222" t="s">
        <v>526</v>
      </c>
      <c r="E112" s="27"/>
    </row>
    <row r="113" spans="2:5" s="5" customFormat="1" ht="35.25" customHeight="1" x14ac:dyDescent="0.2">
      <c r="B113" s="219"/>
      <c r="C113" s="152"/>
      <c r="D113" s="222" t="s">
        <v>527</v>
      </c>
      <c r="E113" s="27"/>
    </row>
    <row r="114" spans="2:5" s="5" customFormat="1" ht="35.25" customHeight="1" x14ac:dyDescent="0.2">
      <c r="B114" s="219"/>
      <c r="C114" s="152"/>
      <c r="D114" s="222" t="s">
        <v>528</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525</v>
      </c>
      <c r="E123" s="7"/>
    </row>
    <row r="124" spans="2:5" s="5" customFormat="1" ht="35.25" customHeight="1" x14ac:dyDescent="0.2">
      <c r="B124" s="219"/>
      <c r="C124" s="150"/>
      <c r="D124" s="222" t="s">
        <v>526</v>
      </c>
      <c r="E124" s="27"/>
    </row>
    <row r="125" spans="2:5" s="5" customFormat="1" ht="35.25" customHeight="1" x14ac:dyDescent="0.2">
      <c r="B125" s="219"/>
      <c r="C125" s="150"/>
      <c r="D125" s="222" t="s">
        <v>527</v>
      </c>
      <c r="E125" s="27"/>
    </row>
    <row r="126" spans="2:5" s="5" customFormat="1" ht="35.25" customHeight="1" x14ac:dyDescent="0.2">
      <c r="B126" s="219"/>
      <c r="C126" s="150"/>
      <c r="D126" s="222" t="s">
        <v>528</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525</v>
      </c>
      <c r="E134" s="27"/>
    </row>
    <row r="135" spans="2:5" s="5" customFormat="1" ht="35.25" customHeight="1" x14ac:dyDescent="0.2">
      <c r="B135" s="219"/>
      <c r="C135" s="150"/>
      <c r="D135" s="222" t="s">
        <v>526</v>
      </c>
      <c r="E135" s="27"/>
    </row>
    <row r="136" spans="2:5" s="5" customFormat="1" ht="35.25" customHeight="1" x14ac:dyDescent="0.2">
      <c r="B136" s="219"/>
      <c r="C136" s="150"/>
      <c r="D136" s="222" t="s">
        <v>527</v>
      </c>
      <c r="E136" s="27"/>
    </row>
    <row r="137" spans="2:5" s="5" customFormat="1" ht="35.25" customHeight="1" x14ac:dyDescent="0.2">
      <c r="B137" s="219"/>
      <c r="C137" s="150"/>
      <c r="D137" s="222" t="s">
        <v>528</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526</v>
      </c>
      <c r="E145" s="27"/>
    </row>
    <row r="146" spans="2:5" s="5" customFormat="1" ht="35.25" customHeight="1" x14ac:dyDescent="0.2">
      <c r="B146" s="219"/>
      <c r="C146" s="150"/>
      <c r="D146" s="222" t="s">
        <v>527</v>
      </c>
      <c r="E146" s="27"/>
    </row>
    <row r="147" spans="2:5" s="5" customFormat="1" ht="35.25" customHeight="1" x14ac:dyDescent="0.2">
      <c r="B147" s="219"/>
      <c r="C147" s="150"/>
      <c r="D147" s="222" t="s">
        <v>528</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526</v>
      </c>
      <c r="E167" s="27"/>
    </row>
    <row r="168" spans="2:5" s="5" customFormat="1" ht="35.25" customHeight="1" x14ac:dyDescent="0.2">
      <c r="B168" s="219"/>
      <c r="C168" s="150"/>
      <c r="D168" s="222" t="s">
        <v>527</v>
      </c>
      <c r="E168" s="27"/>
    </row>
    <row r="169" spans="2:5" s="5" customFormat="1" ht="35.25" customHeight="1" x14ac:dyDescent="0.2">
      <c r="B169" s="219"/>
      <c r="C169" s="150"/>
      <c r="D169" s="222" t="s">
        <v>528</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526</v>
      </c>
      <c r="E178" s="27"/>
    </row>
    <row r="179" spans="2:5" s="5" customFormat="1" ht="35.25" customHeight="1" x14ac:dyDescent="0.2">
      <c r="B179" s="219"/>
      <c r="C179" s="150"/>
      <c r="D179" s="222" t="s">
        <v>527</v>
      </c>
      <c r="E179" s="27"/>
    </row>
    <row r="180" spans="2:5" s="5" customFormat="1" ht="35.25" customHeight="1" x14ac:dyDescent="0.2">
      <c r="B180" s="219"/>
      <c r="C180" s="150"/>
      <c r="D180" s="222" t="s">
        <v>528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525</v>
      </c>
      <c r="E200" s="27"/>
    </row>
    <row r="201" spans="2:5" s="5" customFormat="1" ht="35.25" customHeight="1" x14ac:dyDescent="0.2">
      <c r="B201" s="219"/>
      <c r="C201" s="150"/>
      <c r="D201" s="222" t="s">
        <v>526</v>
      </c>
      <c r="E201" s="27"/>
    </row>
    <row r="202" spans="2:5" s="5" customFormat="1" ht="35.25" customHeight="1" x14ac:dyDescent="0.2">
      <c r="B202" s="219"/>
      <c r="C202" s="150"/>
      <c r="D202" s="222" t="s">
        <v>527</v>
      </c>
      <c r="E202" s="27"/>
    </row>
    <row r="203" spans="2:5" s="5" customFormat="1" ht="35.25" customHeight="1" x14ac:dyDescent="0.2">
      <c r="B203" s="219"/>
      <c r="C203" s="150"/>
      <c r="D203" s="222" t="s">
        <v>528</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