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AB38"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X13" i="10" s="1"/>
  <c r="T17" i="10"/>
  <c r="S17" i="10"/>
  <c r="R17" i="10"/>
  <c r="T13" i="10" s="1"/>
  <c r="Q17" i="10"/>
  <c r="P17" i="10"/>
  <c r="O17" i="10"/>
  <c r="N17" i="10"/>
  <c r="M17" i="10"/>
  <c r="AB16" i="10"/>
  <c r="AA16" i="10"/>
  <c r="X16" i="10"/>
  <c r="W16" i="10"/>
  <c r="T16" i="10"/>
  <c r="S16" i="10"/>
  <c r="S13" i="10" s="1"/>
  <c r="P16" i="10"/>
  <c r="O16" i="10"/>
  <c r="L16" i="10"/>
  <c r="K16" i="10"/>
  <c r="J16" i="10"/>
  <c r="G16" i="10"/>
  <c r="F16" i="10"/>
  <c r="E16" i="10"/>
  <c r="AB15" i="10"/>
  <c r="AA15" i="10"/>
  <c r="X15" i="10"/>
  <c r="W15" i="10"/>
  <c r="W13" i="10" s="1"/>
  <c r="T15" i="10"/>
  <c r="S15" i="10"/>
  <c r="P15" i="10"/>
  <c r="O15" i="10"/>
  <c r="L15" i="10"/>
  <c r="AB13" i="10"/>
  <c r="AA13" i="10"/>
  <c r="Z13" i="10"/>
  <c r="Y13" i="10"/>
  <c r="U13" i="10"/>
  <c r="R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B55" i="18"/>
  <c r="AB22" i="4" s="1"/>
  <c r="AA55" i="18"/>
  <c r="Z55" i="18"/>
  <c r="Z22" i="4" s="1"/>
  <c r="Y55" i="18"/>
  <c r="Y22" i="4" s="1"/>
  <c r="X55" i="18"/>
  <c r="W55" i="18"/>
  <c r="V55" i="18"/>
  <c r="V22" i="4" s="1"/>
  <c r="U55" i="18"/>
  <c r="T55" i="18"/>
  <c r="T22" i="4" s="1"/>
  <c r="S55" i="18"/>
  <c r="R55" i="18"/>
  <c r="Q55" i="18"/>
  <c r="Q22" i="4" s="1"/>
  <c r="P55" i="18"/>
  <c r="P22" i="4" s="1"/>
  <c r="O55" i="18"/>
  <c r="O22" i="4" s="1"/>
  <c r="N55" i="18"/>
  <c r="M55" i="18"/>
  <c r="M22" i="4" s="1"/>
  <c r="L55" i="18"/>
  <c r="L22" i="4" s="1"/>
  <c r="K55" i="18"/>
  <c r="K22" i="4" s="1"/>
  <c r="J55" i="18"/>
  <c r="I55" i="18"/>
  <c r="I22" i="4" s="1"/>
  <c r="H55" i="18"/>
  <c r="H22" i="4" s="1"/>
  <c r="G55" i="18"/>
  <c r="G22" i="4" s="1"/>
  <c r="F55" i="18"/>
  <c r="F22" i="4" s="1"/>
  <c r="E55" i="18"/>
  <c r="D55" i="18"/>
  <c r="D22" i="4" s="1"/>
  <c r="AU54" i="18"/>
  <c r="AU12" i="4" s="1"/>
  <c r="AT54" i="18"/>
  <c r="AT12" i="4" s="1"/>
  <c r="AS54" i="18"/>
  <c r="AS12" i="4" s="1"/>
  <c r="AC54" i="18"/>
  <c r="AB54" i="18"/>
  <c r="AB12" i="4" s="1"/>
  <c r="AA54" i="18"/>
  <c r="AA12" i="4" s="1"/>
  <c r="Z54" i="18"/>
  <c r="Y54" i="18"/>
  <c r="Y12" i="4" s="1"/>
  <c r="X54" i="18"/>
  <c r="X12" i="4" s="1"/>
  <c r="W54" i="18"/>
  <c r="V54" i="18"/>
  <c r="V12" i="4" s="1"/>
  <c r="U54" i="18"/>
  <c r="T54" i="18"/>
  <c r="T12" i="4" s="1"/>
  <c r="S54" i="18"/>
  <c r="R54" i="18"/>
  <c r="Q54" i="18"/>
  <c r="Q12" i="4" s="1"/>
  <c r="P54" i="18"/>
  <c r="O54" i="18"/>
  <c r="O12" i="4" s="1"/>
  <c r="N54" i="18"/>
  <c r="N12" i="4" s="1"/>
  <c r="M54" i="18"/>
  <c r="M12" i="4" s="1"/>
  <c r="L54" i="18"/>
  <c r="K54" i="18"/>
  <c r="J54" i="18"/>
  <c r="I54" i="18"/>
  <c r="I12" i="4" s="1"/>
  <c r="H54" i="18"/>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C22" i="4"/>
  <c r="AA22" i="4"/>
  <c r="X22" i="4"/>
  <c r="W22" i="4"/>
  <c r="U22" i="4"/>
  <c r="S22" i="4"/>
  <c r="R22" i="4"/>
  <c r="N22" i="4"/>
  <c r="J22" i="4"/>
  <c r="E22" i="4"/>
  <c r="AC12" i="4"/>
  <c r="Z12" i="4"/>
  <c r="W12" i="4"/>
  <c r="U12" i="4"/>
  <c r="S12" i="4"/>
  <c r="R12" i="4"/>
  <c r="P12" i="4"/>
  <c r="L12" i="4"/>
  <c r="K12" i="4"/>
  <c r="J12" i="4"/>
  <c r="H12" i="4"/>
  <c r="G12" i="4"/>
  <c r="E12" i="4"/>
  <c r="D12" i="4"/>
  <c r="AU5" i="4"/>
  <c r="AT5" i="4"/>
  <c r="AS5" i="4"/>
  <c r="AC5" i="4"/>
  <c r="AB5" i="4"/>
  <c r="AA5" i="4"/>
  <c r="Z5" i="4"/>
  <c r="Y5" i="4"/>
  <c r="X5" i="4"/>
  <c r="W5" i="4"/>
  <c r="V5" i="4"/>
  <c r="U5" i="4"/>
  <c r="T5" i="4"/>
  <c r="S5" i="4"/>
  <c r="R5" i="4"/>
  <c r="Q5" i="4"/>
  <c r="P5" i="4"/>
  <c r="O5" i="4"/>
  <c r="N5" i="4"/>
  <c r="M5" i="4"/>
  <c r="L5" i="4"/>
  <c r="K5" i="4"/>
  <c r="J7" i="10" s="1"/>
  <c r="J5" i="4"/>
  <c r="I5" i="4"/>
  <c r="G15" i="10" s="1"/>
  <c r="H5" i="4"/>
  <c r="G5" i="4"/>
  <c r="E15" i="10" s="1"/>
  <c r="F5" i="4"/>
  <c r="E5" i="4"/>
  <c r="D5" i="4"/>
  <c r="K7" i="10" l="1"/>
  <c r="F15" i="10"/>
  <c r="J15" i="10"/>
  <c r="L23" i="10"/>
  <c r="L27" i="10" s="1"/>
  <c r="L31" i="10" s="1"/>
  <c r="L32" i="10" s="1"/>
  <c r="L33" i="10" s="1"/>
  <c r="G7" i="10"/>
  <c r="G29" i="10" s="1"/>
  <c r="E7" i="10"/>
  <c r="G25" i="10"/>
  <c r="L26" i="10"/>
  <c r="L30" i="10" s="1"/>
  <c r="G20" i="10"/>
  <c r="X38" i="10"/>
  <c r="X46" i="10"/>
  <c r="T46" i="10"/>
  <c r="V13" i="10"/>
  <c r="G19" i="10" l="1"/>
  <c r="G21" i="10" s="1"/>
  <c r="G28" i="10"/>
  <c r="J17" i="10"/>
  <c r="K15" i="10"/>
  <c r="I17" i="10"/>
  <c r="F7" i="10"/>
  <c r="F17" i="10" s="1"/>
  <c r="D17" i="10"/>
  <c r="D44" i="10" s="1"/>
  <c r="C12" i="10"/>
  <c r="J37" i="10"/>
  <c r="E17" i="10" l="1"/>
  <c r="K37" i="10"/>
  <c r="E12" i="10"/>
  <c r="E37" i="10"/>
  <c r="C17" i="10"/>
  <c r="C44" i="10" s="1"/>
  <c r="I44" i="10"/>
  <c r="G24" i="10"/>
  <c r="G23" i="10" s="1"/>
  <c r="G27" i="10" s="1"/>
  <c r="D12" i="10"/>
  <c r="F12" i="10" s="1"/>
  <c r="H12" i="10"/>
  <c r="K17" i="10"/>
  <c r="H17" i="10"/>
  <c r="J12" i="10"/>
  <c r="J44" i="10" s="1"/>
  <c r="I12" i="10"/>
  <c r="G31" i="10"/>
  <c r="G32" i="10" s="1"/>
  <c r="G33" i="10" s="1"/>
  <c r="G26" i="10"/>
  <c r="G30" i="10" s="1"/>
  <c r="K51" i="10" l="1"/>
  <c r="K38" i="10"/>
  <c r="K41" i="10" s="1"/>
  <c r="K46" i="10" s="1"/>
  <c r="K47" i="10" s="1"/>
  <c r="K50" i="10" s="1"/>
  <c r="K52" i="10" s="1"/>
  <c r="D11" i="16" s="1"/>
  <c r="H44" i="10"/>
  <c r="K12" i="10"/>
  <c r="K44" i="10" s="1"/>
  <c r="E44" i="10"/>
  <c r="F37" i="10"/>
  <c r="F38" i="10" l="1"/>
  <c r="F41" i="10" s="1"/>
  <c r="F46" i="10" s="1"/>
  <c r="F47" i="10" s="1"/>
  <c r="F50" i="10" s="1"/>
  <c r="F52" i="10" s="1"/>
  <c r="C11" i="16" s="1"/>
  <c r="F44" i="10"/>
  <c r="F51"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<sst xmlns="http://schemas.openxmlformats.org/spreadsheetml/2006/main" count="570" uniqueCount="508">
  <si>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</si>
  <si>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</si>
  <si>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</si>
  <si>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</si>
  <si>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</si>
  <si>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</si>
  <si>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</si>
  <si>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</si>
  <si>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</si>
  <si>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</si>
  <si>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</si>
  <si>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</si>
  <si>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</si>
  <si>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</si>
  <si>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</si>
  <si>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</si>
  <si>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</si>
  <si>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</si>
  <si>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</si>
  <si>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</si>
  <si>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</si>
  <si>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</si>
  <si>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</si>
  <si>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</si>
  <si>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</si>
  <si>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</si>
  <si>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</si>
  <si>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</si>
  <si>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</si>
  <si>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</si>
  <si>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</si>
  <si>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</si>
  <si>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</si>
  <si>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</si>
  <si>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</si>
  <si>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</si>
  <si>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</si>
  <si>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</si>
  <si>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</si>
  <si>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</si>
  <si>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</si>
  <si>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</si>
  <si>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</si>
  <si>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</si>
  <si>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</si>
  <si>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</si>
  <si>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</si>
  <si>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</si>
  <si>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</si>
  <si>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</si>
  <si>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</si>
  <si>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</si>
  <si>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</si>
  <si>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</si>
  <si>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</si>
  <si>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</si>
  <si>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</si>
  <si>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</si>
  <si>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</si>
  <si>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</si>
  <si>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</si>
  <si>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</si>
  <si>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</si>
  <si>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</si>
  <si>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</si>
  <si>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</si>
  <si>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</si>
  <si>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</si>
  <si>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</si>
  <si>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</si>
  <si>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</si>
  <si>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</si>
  <si>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</si>
  <si>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</si>
  <si>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</si>
  <si>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</si>
  <si>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</si>
  <si>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</si>
  <si>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</si>
  <si>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</si>
  <si>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</si>
  <si>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</si>
  <si>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</si>
  <si>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</si>
  <si>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</si>
  <si>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</si>
  <si>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</si>
  <si>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</si>
  <si>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</si>
  <si>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</si>
  <si>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</si>
  <si>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</si>
  <si>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</si>
  <si>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</si>
  <si>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</si>
  <si>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</si>
  <si>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</si>
  <si>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</si>
  <si>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</si>
  <si>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</si>
  <si>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</si>
  <si>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</si>
  <si>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</si>
  <si>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</si>
  <si>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</si>
  <si>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</si>
  <si>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</si>
  <si>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</si>
  <si>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</si>
  <si>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</si>
  <si>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</si>
  <si>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</si>
  <si>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</si>
  <si>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</si>
  <si>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</si>
  <si>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</si>
  <si>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</si>
  <si>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</si>
  <si>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</si>
  <si>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</si>
  <si>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</si>
  <si>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</si>
  <si>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</si>
  <si>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</si>
  <si>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</si>
  <si>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</si>
  <si>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</si>
  <si>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</si>
  <si>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</si>
  <si>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</si>
  <si>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</si>
  <si>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</si>
  <si>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</si>
  <si>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</si>
  <si>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</si>
  <si>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</si>
  <si>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</si>
  <si>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</si>
  <si>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</si>
  <si>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</si>
  <si>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</si>
  <si>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</si>
  <si>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</si>
  <si>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</si>
  <si>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</si>
  <si>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</si>
  <si>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</si>
  <si>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</si>
  <si>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</si>
  <si>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</si>
  <si>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</si>
  <si>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</si>
  <si>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</si>
  <si>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</si>
  <si>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</si>
  <si>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</si>
  <si>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</si>
  <si>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</si>
  <si>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</si>
  <si>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</si>
  <si>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</si>
  <si>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</si>
  <si>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</si>
  <si>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</si>
  <si>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</si>
  <si>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</si>
  <si>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</si>
  <si>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</si>
  <si>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</si>
  <si>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</si>
  <si>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</si>
  <si>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</si>
  <si>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</si>
  <si>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</si>
  <si>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</si>
  <si>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</si>
  <si>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</si>
  <si>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</si>
  <si>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</si>
  <si>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</si>
  <si>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</si>
  <si>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</si>
  <si>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</si>
  <si>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</si>
  <si>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</si>
  <si>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</si>
  <si>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</si>
  <si>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</si>
  <si>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</si>
  <si>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</si>
  <si>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</si>
  <si>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</si>
  <si>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</si>
  <si>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</si>
  <si>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</si>
  <si>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</si>
  <si>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</si>
  <si>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</si>
  <si>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</si>
  <si>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</si>
  <si>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</si>
  <si>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</si>
  <si>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</si>
  <si>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</si>
  <si>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</si>
  <si>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</si>
  <si>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</si>
  <si>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</si>
  <si>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</si>
  <si>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</si>
  <si>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</si>
  <si>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</si>
  <si>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</si>
  <si>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</si>
  <si>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</si>
  <si>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</si>
  <si>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</si>
  <si>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</si>
  <si>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</si>
  <si>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</si>
  <si>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</si>
  <si>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</si>
  <si>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</si>
  <si>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</si>
  <si>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</si>
  <si>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</si>
  <si>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</si>
  <si>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</si>
  <si>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</si>
  <si>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</si>
  <si>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</si>
  <si>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</si>
  <si>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</si>
  <si>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</si>
  <si>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</si>
  <si>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</si>
  <si>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</si>
  <si>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</si>
  <si>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</si>
  <si>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</si>
  <si>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</si>
  <si>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</si>
  <si>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</si>
  <si>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</si>
  <si>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</si>
  <si>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</si>
  <si>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</si>
  <si>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</si>
  <si>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</si>
  <si>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</si>
  <si>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</si>
  <si>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</si>
  <si>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</si>
  <si>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</si>
  <si>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</si>
  <si>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</si>
  <si>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</si>
  <si>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</si>
  <si>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</si>
  <si>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</si>
  <si>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</si>
  <si>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</si>
  <si>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</si>
  <si>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</si>
  <si>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</si>
  <si>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</si>
  <si>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</si>
  <si>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</si>
  <si>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</si>
  <si>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</si>
  <si>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</si>
  <si>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</si>
  <si>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</si>
  <si>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</si>
  <si>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</si>
  <si>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</si>
  <si>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</si>
  <si>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</si>
  <si>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</si>
  <si>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</si>
  <si>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</si>
  <si>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</si>
  <si>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</si>
  <si>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</si>
  <si>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</si>
  <si>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</si>
  <si>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</si>
  <si>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</si>
  <si>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</si>
  <si>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</si>
  <si>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</si>
  <si>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</si>
  <si>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</si>
  <si>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</si>
  <si>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</si>
  <si>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</si>
  <si>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</si>
  <si>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</si>
  <si>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</si>
  <si>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</si>
  <si>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</si>
  <si>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</si>
  <si>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</si>
  <si>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</si>
  <si>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</si>
  <si>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</si>
  <si>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</si>
  <si>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</si>
  <si>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</si>
  <si>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</si>
  <si>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</si>
  <si>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</si>
  <si>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</si>
  <si>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</si>
  <si>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</si>
  <si>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</si>
  <si>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</si>
  <si>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</si>
  <si>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</si>
  <si>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</si>
  <si>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</si>
  <si>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</si>
  <si>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</si>
  <si>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</si>
  <si>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</si>
  <si>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</si>
  <si>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</si>
  <si>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</si>
  <si>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</si>
  <si>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</si>
  <si>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</si>
  <si>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</si>
  <si>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</si>
  <si>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</si>
  <si>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</si>
  <si>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</si>
  <si>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</si>
  <si>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</si>
  <si>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</si>
  <si>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</si>
  <si>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</si>
  <si>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</si>
  <si>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</si>
  <si>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</si>
  <si>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</si>
  <si>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</si>
  <si>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</si>
  <si>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</si>
  <si>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</si>
  <si>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</si>
  <si>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</si>
  <si>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</si>
  <si>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</si>
  <si>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</si>
  <si>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</si>
  <si>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</si>
  <si>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</si>
  <si>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</si>
  <si>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</si>
  <si>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</si>
  <si>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</si>
  <si>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</si>
  <si>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</si>
  <si>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</si>
  <si>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</si>
  <si>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</si>
  <si>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</si>
  <si>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</si>
  <si>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</si>
  <si>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</si>
  <si>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</si>
  <si>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</si>
  <si>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</si>
  <si>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</si>
  <si>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</si>
  <si>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</si>
  <si>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</si>
  <si>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</si>
  <si>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</si>
  <si>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</si>
  <si>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</si>
  <si>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</si>
  <si>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</si>
  <si>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</si>
  <si>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</si>
  <si>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</si>
  <si>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</si>
  <si>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</si>
  <si>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</si>
  <si>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</si>
  <si>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</si>
  <si>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</si>
  <si>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</si>
  <si>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</si>
  <si>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</si>
  <si>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</si>
  <si>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</si>
  <si>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</si>
  <si>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</si>
  <si>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</si>
  <si>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</si>
  <si>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</si>
  <si>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</si>
  <si>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</si>
  <si>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</si>
  <si>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</si>
  <si>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</si>
  <si>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</si>
  <si>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</si>
  <si>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</si>
  <si>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</si>
  <si>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</si>
  <si>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</si>
  <si>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</si>
  <si>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</si>
  <si>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</si>
  <si>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</si>
  <si>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</si>
  <si>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</si>
  <si>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</si>
  <si>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</si>
  <si>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</si>
  <si>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</si>
  <si>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</si>
  <si>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</si>
  <si>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</si>
  <si>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</si>
  <si>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</si>
  <si>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</si>
  <si>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</si>
  <si>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</si>
  <si>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</si>
  <si>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</si>
  <si>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</si>
  <si>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</si>
  <si>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</si>
  <si>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</si>
  <si>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</si>
  <si>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</si>
  <si>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</si>
  <si>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</si>
  <si>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</si>
  <si>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</si>
  <si>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</si>
  <si>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</si>
  <si>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</si>
  <si>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</si>
  <si>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</si>
  <si>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</si>
  <si>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</si>
  <si>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</si>
  <si>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</si>
  <si>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</si>
  <si>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</si>
  <si>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</si>
  <si>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</si>
  <si>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</si>
  <si>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</si>
  <si>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</si>
  <si>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</si>
  <si>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</si>
  <si>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</si>
  <si>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</si>
  <si>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</si>
  <si>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</si>
  <si>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</si>
  <si>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</si>
  <si>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</si>
  <si>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</si>
  <si>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</si>
  <si>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</si>
  <si>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</si>
  <si>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</si>
  <si>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</si>
  <si>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</si>
  <si>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</si>
  <si>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</si>
  <si>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</si>
  <si>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</si>
  <si>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</si>
  <si>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</si>
  <si>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</si>
  <si>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</si>
  <si>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</si>
  <si>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</si>
  <si>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</si>
  <si>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</si>
  <si>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</si>
  <si>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</si>
  <si>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</si>
  <si>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</si>
  <si>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</si>
  <si>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</si>
  <si>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</si>
  <si>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</si>
  <si>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</si>
  <si>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</si>
  <si>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</si>
  <si>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</si>
  <si>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</si>
  <si>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</si>
  <si>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</si>
  <si>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</si>
  <si>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58288</t>
  </si>
  <si>
    <t>215</t>
  </si>
  <si>
    <t>Humana Insurance Company</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</si>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</sst>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154</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6239636</v>
      </c>
      <c r="E5" s="106">
        <f>SUM('Pt 2 Premium and Claims'!E$5,'Pt 2 Premium and Claims'!E$6,-'Pt 2 Premium and Claims'!E$7,-'Pt 2 Premium and Claims'!E$13,'Pt 2 Premium and Claims'!E$14:'Pt 2 Premium and Claims'!E$17)</f>
        <v>8930059.6447273996</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7215551</v>
      </c>
      <c r="J5" s="105">
        <f>SUM('Pt 2 Premium and Claims'!J$5,'Pt 2 Premium and Claims'!J$6,-'Pt 2 Premium and Claims'!J$7,-'Pt 2 Premium and Claims'!J$13,'Pt 2 Premium and Claims'!J$14,'Pt 2 Premium and Claims'!J$16:'Pt 2 Premium and Claims'!J$17)</f>
        <v>31093982</v>
      </c>
      <c r="K5" s="106">
        <f>SUM('Pt 2 Premium and Claims'!K$5,'Pt 2 Premium and Claims'!K$6,-'Pt 2 Premium and Claims'!K$7,-'Pt 2 Premium and Claims'!K$13,'Pt 2 Premium and Claims'!K$14,'Pt 2 Premium and Claims'!K$16:'Pt 2 Premium and Claims'!K$17)</f>
        <v>22454085.946109097</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150536531</v>
      </c>
      <c r="Q5" s="106">
        <f>SUM('Pt 2 Premium and Claims'!Q$5,'Pt 2 Premium and Claims'!Q$6,-'Pt 2 Premium and Claims'!Q$7,-'Pt 2 Premium and Claims'!Q$13,'Pt 2 Premium and Claims'!Q$14)</f>
        <v>159219513.92376909</v>
      </c>
      <c r="R5" s="106">
        <f>SUM('Pt 2 Premium and Claims'!R$5,'Pt 2 Premium and Claims'!R$6,-'Pt 2 Premium and Claims'!R$7,-'Pt 2 Premium and Claims'!R$13,'Pt 2 Premium and Claims'!R$14)</f>
        <v>264191.93</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535127292.99999994</v>
      </c>
      <c r="AT5" s="107">
        <f>SUM('Pt 2 Premium and Claims'!AT$5,'Pt 2 Premium and Claims'!AT$6,-'Pt 2 Premium and Claims'!AT$7,-'Pt 2 Premium and Claims'!AT$13,'Pt 2 Premium and Claims'!AT$14)</f>
        <v>334446</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-271</v>
      </c>
      <c r="E7" s="110">
        <v>-271</v>
      </c>
      <c r="F7" s="110"/>
      <c r="G7" s="110"/>
      <c r="H7" s="110"/>
      <c r="I7" s="109"/>
      <c r="J7" s="109">
        <v>-14406</v>
      </c>
      <c r="K7" s="110">
        <v>-14406</v>
      </c>
      <c r="L7" s="110"/>
      <c r="M7" s="110"/>
      <c r="N7" s="110"/>
      <c r="O7" s="109"/>
      <c r="P7" s="109">
        <v>-65734</v>
      </c>
      <c r="Q7" s="110">
        <v>-66307.930689485045</v>
      </c>
      <c r="R7" s="110">
        <v>-573.9306894850447</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-58275</v>
      </c>
      <c r="E8" s="289"/>
      <c r="F8" s="290"/>
      <c r="G8" s="290"/>
      <c r="H8" s="290"/>
      <c r="I8" s="293"/>
      <c r="J8" s="109">
        <v>-54673</v>
      </c>
      <c r="K8" s="289"/>
      <c r="L8" s="290"/>
      <c r="M8" s="290"/>
      <c r="N8" s="290"/>
      <c r="O8" s="293"/>
      <c r="P8" s="109">
        <v>-178124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8592818</v>
      </c>
      <c r="E12" s="106">
        <f>'Pt 2 Premium and Claims'!E$54</f>
        <v>9015660.1347000021</v>
      </c>
      <c r="F12" s="106">
        <f>'Pt 2 Premium and Claims'!F$54</f>
        <v>0</v>
      </c>
      <c r="G12" s="106">
        <f>'Pt 2 Premium and Claims'!G$54</f>
        <v>0</v>
      </c>
      <c r="H12" s="106">
        <f>'Pt 2 Premium and Claims'!H$54</f>
        <v>0</v>
      </c>
      <c r="I12" s="105">
        <f>'Pt 2 Premium and Claims'!I$54</f>
        <v>8054849</v>
      </c>
      <c r="J12" s="105">
        <f>'Pt 2 Premium and Claims'!J$54</f>
        <v>24982556</v>
      </c>
      <c r="K12" s="106">
        <f>'Pt 2 Premium and Claims'!K$54</f>
        <v>18517906.435205001</v>
      </c>
      <c r="L12" s="106">
        <f>'Pt 2 Premium and Claims'!L$54</f>
        <v>0</v>
      </c>
      <c r="M12" s="106">
        <f>'Pt 2 Premium and Claims'!M$54</f>
        <v>0</v>
      </c>
      <c r="N12" s="106">
        <f>'Pt 2 Premium and Claims'!N$54</f>
        <v>0</v>
      </c>
      <c r="O12" s="105">
        <f>'Pt 2 Premium and Claims'!O$54</f>
        <v>0</v>
      </c>
      <c r="P12" s="105">
        <f>'Pt 2 Premium and Claims'!P$54</f>
        <v>135715118</v>
      </c>
      <c r="Q12" s="106">
        <f>'Pt 2 Premium and Claims'!Q$54</f>
        <v>143149289.78353164</v>
      </c>
      <c r="R12" s="106">
        <f>'Pt 2 Premium and Claims'!R$54</f>
        <v>342606.96890000004</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454024088</v>
      </c>
      <c r="AT12" s="107">
        <f>'Pt 2 Premium and Claims'!AT$54</f>
        <v>233508</v>
      </c>
      <c r="AU12" s="107">
        <f>'Pt 2 Premium and Claims'!AU$54</f>
        <v>0</v>
      </c>
      <c r="AV12" s="312"/>
      <c r="AW12" s="317"/>
    </row>
    <row r="13" spans="1:49" ht="25.5" x14ac:dyDescent="0.2">
      <c r="B13" s="155" t="s">
        <v>230</v>
      </c>
      <c r="C13" s="62" t="s">
        <v>37</v>
      </c>
      <c r="D13" s="109">
        <v>1027405</v>
      </c>
      <c r="E13" s="110">
        <v>1055297.7300000002</v>
      </c>
      <c r="F13" s="110"/>
      <c r="G13" s="289"/>
      <c r="H13" s="290"/>
      <c r="I13" s="109">
        <v>936200</v>
      </c>
      <c r="J13" s="109">
        <v>3283580</v>
      </c>
      <c r="K13" s="110">
        <v>2259491.5792392083</v>
      </c>
      <c r="L13" s="110"/>
      <c r="M13" s="289"/>
      <c r="N13" s="290"/>
      <c r="O13" s="109"/>
      <c r="P13" s="109">
        <v>19743901</v>
      </c>
      <c r="Q13" s="110">
        <v>20780978.670760795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45459730</v>
      </c>
      <c r="AT13" s="113"/>
      <c r="AU13" s="113"/>
      <c r="AV13" s="311"/>
      <c r="AW13" s="318"/>
    </row>
    <row r="14" spans="1:49" ht="25.5" x14ac:dyDescent="0.2">
      <c r="B14" s="155" t="s">
        <v>231</v>
      </c>
      <c r="C14" s="62" t="s">
        <v>6</v>
      </c>
      <c r="D14" s="109">
        <v>36026</v>
      </c>
      <c r="E14" s="110">
        <v>35156.179999999993</v>
      </c>
      <c r="F14" s="110"/>
      <c r="G14" s="288"/>
      <c r="H14" s="291"/>
      <c r="I14" s="109">
        <v>30918</v>
      </c>
      <c r="J14" s="109">
        <v>317342</v>
      </c>
      <c r="K14" s="110">
        <v>206960.06207098567</v>
      </c>
      <c r="L14" s="110"/>
      <c r="M14" s="288"/>
      <c r="N14" s="291"/>
      <c r="O14" s="109"/>
      <c r="P14" s="109">
        <v>1772205</v>
      </c>
      <c r="Q14" s="110">
        <v>1880648.0279290145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10010163</v>
      </c>
      <c r="AT14" s="113"/>
      <c r="AU14" s="113"/>
      <c r="AV14" s="311"/>
      <c r="AW14" s="318"/>
    </row>
    <row r="15" spans="1:49" ht="38.25" x14ac:dyDescent="0.2">
      <c r="B15" s="155" t="s">
        <v>232</v>
      </c>
      <c r="C15" s="62" t="s">
        <v>7</v>
      </c>
      <c r="D15" s="109">
        <v>132</v>
      </c>
      <c r="E15" s="110">
        <v>132</v>
      </c>
      <c r="F15" s="110"/>
      <c r="G15" s="288"/>
      <c r="H15" s="294"/>
      <c r="I15" s="109">
        <v>118</v>
      </c>
      <c r="J15" s="109">
        <v>873</v>
      </c>
      <c r="K15" s="110">
        <v>873</v>
      </c>
      <c r="L15" s="110"/>
      <c r="M15" s="288"/>
      <c r="N15" s="294"/>
      <c r="O15" s="109"/>
      <c r="P15" s="109">
        <v>3398</v>
      </c>
      <c r="Q15" s="110">
        <v>3398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10487</v>
      </c>
      <c r="AT15" s="113">
        <v>6</v>
      </c>
      <c r="AU15" s="113"/>
      <c r="AV15" s="311"/>
      <c r="AW15" s="318"/>
    </row>
    <row r="16" spans="1:49" ht="25.5" x14ac:dyDescent="0.2">
      <c r="B16" s="155" t="s">
        <v>233</v>
      </c>
      <c r="C16" s="62" t="s">
        <v>61</v>
      </c>
      <c r="D16" s="109">
        <v>-2181576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-232966</v>
      </c>
      <c r="E17" s="288"/>
      <c r="F17" s="291"/>
      <c r="G17" s="291"/>
      <c r="H17" s="291"/>
      <c r="I17" s="292"/>
      <c r="J17" s="109">
        <v>339626</v>
      </c>
      <c r="K17" s="288"/>
      <c r="L17" s="291"/>
      <c r="M17" s="291"/>
      <c r="N17" s="291"/>
      <c r="O17" s="292"/>
      <c r="P17" s="109">
        <v>27655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2350863</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345817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6191</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893</v>
      </c>
      <c r="E22" s="115">
        <f>'Pt 2 Premium and Claims'!E$55</f>
        <v>893</v>
      </c>
      <c r="F22" s="115">
        <f>'Pt 2 Premium and Claims'!F$55</f>
        <v>0</v>
      </c>
      <c r="G22" s="115">
        <f>'Pt 2 Premium and Claims'!G$55</f>
        <v>0</v>
      </c>
      <c r="H22" s="115">
        <f>'Pt 2 Premium and Claims'!H$55</f>
        <v>0</v>
      </c>
      <c r="I22" s="114">
        <f>'Pt 2 Premium and Claims'!I$55</f>
        <v>694</v>
      </c>
      <c r="J22" s="114">
        <f>'Pt 2 Premium and Claims'!J$55</f>
        <v>58355</v>
      </c>
      <c r="K22" s="115">
        <f>'Pt 2 Premium and Claims'!K$55</f>
        <v>58355</v>
      </c>
      <c r="L22" s="115">
        <f>'Pt 2 Premium and Claims'!L$55</f>
        <v>0</v>
      </c>
      <c r="M22" s="115">
        <f>'Pt 2 Premium and Claims'!M$55</f>
        <v>0</v>
      </c>
      <c r="N22" s="115">
        <f>'Pt 2 Premium and Claims'!N$55</f>
        <v>0</v>
      </c>
      <c r="O22" s="114">
        <f>'Pt 2 Premium and Claims'!O$55</f>
        <v>0</v>
      </c>
      <c r="P22" s="114">
        <f>'Pt 2 Premium and Claims'!P$55</f>
        <v>265545</v>
      </c>
      <c r="Q22" s="115">
        <f>'Pt 2 Premium and Claims'!Q$55</f>
        <v>265551.38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-195028.52070000005</v>
      </c>
      <c r="E25" s="110">
        <v>-345566.74070000002</v>
      </c>
      <c r="F25" s="110"/>
      <c r="G25" s="110"/>
      <c r="H25" s="110"/>
      <c r="I25" s="109">
        <v>-728344</v>
      </c>
      <c r="J25" s="109">
        <v>373650.35340000002</v>
      </c>
      <c r="K25" s="110">
        <v>373650.35340000002</v>
      </c>
      <c r="L25" s="110"/>
      <c r="M25" s="110"/>
      <c r="N25" s="110"/>
      <c r="O25" s="109"/>
      <c r="P25" s="109">
        <v>-1567575.085</v>
      </c>
      <c r="Q25" s="110">
        <v>-1575542.882884915</v>
      </c>
      <c r="R25" s="110">
        <v>-7967.7978849150204</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9959141.7229999993</v>
      </c>
      <c r="AT25" s="113">
        <v>23946.50459</v>
      </c>
      <c r="AU25" s="113"/>
      <c r="AV25" s="113"/>
      <c r="AW25" s="318"/>
    </row>
    <row r="26" spans="1:49" s="5" customFormat="1" x14ac:dyDescent="0.2">
      <c r="A26" s="35"/>
      <c r="B26" s="158" t="s">
        <v>243</v>
      </c>
      <c r="C26" s="62"/>
      <c r="D26" s="109"/>
      <c r="E26" s="110">
        <v>2444.0499999999997</v>
      </c>
      <c r="F26" s="110"/>
      <c r="G26" s="110"/>
      <c r="H26" s="110"/>
      <c r="I26" s="109">
        <v>2225</v>
      </c>
      <c r="J26" s="109"/>
      <c r="K26" s="110">
        <v>14275.710000000001</v>
      </c>
      <c r="L26" s="110"/>
      <c r="M26" s="110"/>
      <c r="N26" s="110"/>
      <c r="O26" s="109"/>
      <c r="P26" s="109"/>
      <c r="Q26" s="110">
        <v>53436.601783669612</v>
      </c>
      <c r="R26" s="110">
        <v>116.55178366960685</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73214.850000000006</v>
      </c>
      <c r="E27" s="110">
        <v>73214.850000000006</v>
      </c>
      <c r="F27" s="110"/>
      <c r="G27" s="110"/>
      <c r="H27" s="110"/>
      <c r="I27" s="109">
        <v>65801</v>
      </c>
      <c r="J27" s="109">
        <v>454557.54</v>
      </c>
      <c r="K27" s="110">
        <v>454557.54</v>
      </c>
      <c r="L27" s="110"/>
      <c r="M27" s="110"/>
      <c r="N27" s="110"/>
      <c r="O27" s="109"/>
      <c r="P27" s="109">
        <v>1821676.87</v>
      </c>
      <c r="Q27" s="110">
        <v>1825000.0433629411</v>
      </c>
      <c r="R27" s="110">
        <v>3323.1733629410751</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5711911.54</v>
      </c>
      <c r="AT27" s="113">
        <v>4319.7</v>
      </c>
      <c r="AU27" s="113"/>
      <c r="AV27" s="314"/>
      <c r="AW27" s="318"/>
    </row>
    <row r="28" spans="1:49" s="5" customFormat="1" x14ac:dyDescent="0.2">
      <c r="A28" s="35"/>
      <c r="B28" s="158" t="s">
        <v>245</v>
      </c>
      <c r="C28" s="62"/>
      <c r="D28" s="109">
        <v>10914.579999999998</v>
      </c>
      <c r="E28" s="110">
        <v>11502.750000000002</v>
      </c>
      <c r="F28" s="110"/>
      <c r="G28" s="110"/>
      <c r="H28" s="110"/>
      <c r="I28" s="109">
        <v>10441</v>
      </c>
      <c r="J28" s="109">
        <v>407192.91</v>
      </c>
      <c r="K28" s="110">
        <v>65880.490000000005</v>
      </c>
      <c r="L28" s="110"/>
      <c r="M28" s="110"/>
      <c r="N28" s="110"/>
      <c r="O28" s="109"/>
      <c r="P28" s="109">
        <v>1552159.8199999998</v>
      </c>
      <c r="Q28" s="110">
        <v>264979.91326715524</v>
      </c>
      <c r="R28" s="110">
        <v>482.22326715524849</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65759.820000000007</v>
      </c>
      <c r="AT28" s="113">
        <v>90.809999999999988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-26231.704249999999</v>
      </c>
      <c r="E30" s="110">
        <v>-24027.494249999996</v>
      </c>
      <c r="F30" s="110"/>
      <c r="G30" s="110"/>
      <c r="H30" s="110"/>
      <c r="I30" s="109">
        <v>-53957</v>
      </c>
      <c r="J30" s="109">
        <v>32866.599139999998</v>
      </c>
      <c r="K30" s="110">
        <v>45430.299139999996</v>
      </c>
      <c r="L30" s="110"/>
      <c r="M30" s="110"/>
      <c r="N30" s="110"/>
      <c r="O30" s="109"/>
      <c r="P30" s="109">
        <v>-105274.1553</v>
      </c>
      <c r="Q30" s="110">
        <v>-55837.159805333438</v>
      </c>
      <c r="R30" s="110">
        <v>-435.63450533344593</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798052.54969999986</v>
      </c>
      <c r="AT30" s="113">
        <v>1905.511004</v>
      </c>
      <c r="AU30" s="113"/>
      <c r="AV30" s="113"/>
      <c r="AW30" s="318"/>
    </row>
    <row r="31" spans="1:49" x14ac:dyDescent="0.2">
      <c r="B31" s="158" t="s">
        <v>248</v>
      </c>
      <c r="C31" s="62"/>
      <c r="D31" s="109">
        <v>30905.79</v>
      </c>
      <c r="E31" s="110">
        <v>21007.700000000004</v>
      </c>
      <c r="F31" s="110"/>
      <c r="G31" s="110"/>
      <c r="H31" s="110"/>
      <c r="I31" s="109">
        <v>19750</v>
      </c>
      <c r="J31" s="109">
        <v>90230.91</v>
      </c>
      <c r="K31" s="110">
        <v>90230.91</v>
      </c>
      <c r="L31" s="110"/>
      <c r="M31" s="110"/>
      <c r="N31" s="110"/>
      <c r="O31" s="109"/>
      <c r="P31" s="109">
        <v>302133.39</v>
      </c>
      <c r="Q31" s="110">
        <v>303167.79504614568</v>
      </c>
      <c r="R31" s="110">
        <v>1034.4050461456886</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21310.84</v>
      </c>
      <c r="AT31" s="113">
        <v>1394.64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65432.260000000024</v>
      </c>
      <c r="F34" s="110"/>
      <c r="G34" s="110"/>
      <c r="H34" s="110"/>
      <c r="I34" s="109">
        <v>59387</v>
      </c>
      <c r="J34" s="109"/>
      <c r="K34" s="110">
        <v>383896.67</v>
      </c>
      <c r="L34" s="110"/>
      <c r="M34" s="110"/>
      <c r="N34" s="110"/>
      <c r="O34" s="109"/>
      <c r="P34" s="109"/>
      <c r="Q34" s="110">
        <v>1471800.0908338604</v>
      </c>
      <c r="R34" s="110">
        <v>3684.2708338605107</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3180.25</v>
      </c>
      <c r="E35" s="110">
        <v>154774.68999999997</v>
      </c>
      <c r="F35" s="110"/>
      <c r="G35" s="110"/>
      <c r="H35" s="110"/>
      <c r="I35" s="109">
        <v>154478</v>
      </c>
      <c r="J35" s="109">
        <v>18352.849999999999</v>
      </c>
      <c r="K35" s="110">
        <v>19579.5</v>
      </c>
      <c r="L35" s="110"/>
      <c r="M35" s="110"/>
      <c r="N35" s="110"/>
      <c r="O35" s="109"/>
      <c r="P35" s="109">
        <v>73602.920000000013</v>
      </c>
      <c r="Q35" s="110">
        <v>73739.440756056341</v>
      </c>
      <c r="R35" s="110">
        <v>136.2707560563214</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163255.94</v>
      </c>
      <c r="AT35" s="113">
        <v>280.16000000000003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8254</v>
      </c>
      <c r="E37" s="118">
        <v>8254.2999999999993</v>
      </c>
      <c r="F37" s="118"/>
      <c r="G37" s="118"/>
      <c r="H37" s="118"/>
      <c r="I37" s="117">
        <v>6896</v>
      </c>
      <c r="J37" s="117">
        <v>93211</v>
      </c>
      <c r="K37" s="118">
        <v>93210.10000000002</v>
      </c>
      <c r="L37" s="118"/>
      <c r="M37" s="118"/>
      <c r="N37" s="118"/>
      <c r="O37" s="117"/>
      <c r="P37" s="117">
        <v>332733</v>
      </c>
      <c r="Q37" s="118">
        <v>333231.33999999991</v>
      </c>
      <c r="R37" s="118">
        <v>499.48</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7124841</v>
      </c>
      <c r="AT37" s="119"/>
      <c r="AU37" s="119"/>
      <c r="AV37" s="119"/>
      <c r="AW37" s="317"/>
    </row>
    <row r="38" spans="1:49" x14ac:dyDescent="0.2">
      <c r="B38" s="155" t="s">
        <v>255</v>
      </c>
      <c r="C38" s="62" t="s">
        <v>16</v>
      </c>
      <c r="D38" s="109">
        <v>2688</v>
      </c>
      <c r="E38" s="110">
        <v>2688.2500000000005</v>
      </c>
      <c r="F38" s="110"/>
      <c r="G38" s="110"/>
      <c r="H38" s="110"/>
      <c r="I38" s="109">
        <v>1993</v>
      </c>
      <c r="J38" s="109">
        <v>47150</v>
      </c>
      <c r="K38" s="110">
        <v>47149.52</v>
      </c>
      <c r="L38" s="110"/>
      <c r="M38" s="110"/>
      <c r="N38" s="110"/>
      <c r="O38" s="109"/>
      <c r="P38" s="109">
        <v>169041</v>
      </c>
      <c r="Q38" s="110">
        <v>169408.27000000002</v>
      </c>
      <c r="R38" s="110">
        <v>368.38</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1915251</v>
      </c>
      <c r="AT38" s="113"/>
      <c r="AU38" s="113"/>
      <c r="AV38" s="113"/>
      <c r="AW38" s="318"/>
    </row>
    <row r="39" spans="1:49" x14ac:dyDescent="0.2">
      <c r="B39" s="158" t="s">
        <v>256</v>
      </c>
      <c r="C39" s="62" t="s">
        <v>17</v>
      </c>
      <c r="D39" s="109">
        <v>1870</v>
      </c>
      <c r="E39" s="110">
        <v>1870.1599999999996</v>
      </c>
      <c r="F39" s="110"/>
      <c r="G39" s="110"/>
      <c r="H39" s="110"/>
      <c r="I39" s="109">
        <v>1387</v>
      </c>
      <c r="J39" s="109">
        <v>29225</v>
      </c>
      <c r="K39" s="110">
        <v>29224.91</v>
      </c>
      <c r="L39" s="110"/>
      <c r="M39" s="110"/>
      <c r="N39" s="110"/>
      <c r="O39" s="109"/>
      <c r="P39" s="109">
        <v>118123</v>
      </c>
      <c r="Q39" s="110">
        <v>118197.75999999998</v>
      </c>
      <c r="R39" s="110">
        <v>75.05</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741265</v>
      </c>
      <c r="AT39" s="113"/>
      <c r="AU39" s="113"/>
      <c r="AV39" s="113"/>
      <c r="AW39" s="318"/>
    </row>
    <row r="40" spans="1:49" x14ac:dyDescent="0.2">
      <c r="B40" s="158" t="s">
        <v>257</v>
      </c>
      <c r="C40" s="62" t="s">
        <v>38</v>
      </c>
      <c r="D40" s="109">
        <v>20416</v>
      </c>
      <c r="E40" s="110">
        <v>20415.82</v>
      </c>
      <c r="F40" s="110"/>
      <c r="G40" s="110"/>
      <c r="H40" s="110"/>
      <c r="I40" s="109">
        <v>14164</v>
      </c>
      <c r="J40" s="109">
        <v>388172</v>
      </c>
      <c r="K40" s="110">
        <v>388171.44</v>
      </c>
      <c r="L40" s="110"/>
      <c r="M40" s="110"/>
      <c r="N40" s="110"/>
      <c r="O40" s="109"/>
      <c r="P40" s="109">
        <v>1509599</v>
      </c>
      <c r="Q40" s="110">
        <v>1510040.3500000003</v>
      </c>
      <c r="R40" s="110">
        <v>441.80000000000007</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3290566</v>
      </c>
      <c r="AT40" s="113">
        <v>12</v>
      </c>
      <c r="AU40" s="113"/>
      <c r="AV40" s="113"/>
      <c r="AW40" s="318"/>
    </row>
    <row r="41" spans="1:49" s="5" customFormat="1" ht="25.5" x14ac:dyDescent="0.2">
      <c r="A41" s="35"/>
      <c r="B41" s="158" t="s">
        <v>258</v>
      </c>
      <c r="C41" s="62" t="s">
        <v>129</v>
      </c>
      <c r="D41" s="109">
        <v>3148</v>
      </c>
      <c r="E41" s="110">
        <v>3148.2100000000005</v>
      </c>
      <c r="F41" s="110"/>
      <c r="G41" s="110"/>
      <c r="H41" s="110"/>
      <c r="I41" s="109">
        <v>2687</v>
      </c>
      <c r="J41" s="109">
        <v>29375</v>
      </c>
      <c r="K41" s="110">
        <v>29374.690000000002</v>
      </c>
      <c r="L41" s="110"/>
      <c r="M41" s="110"/>
      <c r="N41" s="110"/>
      <c r="O41" s="109"/>
      <c r="P41" s="109">
        <v>113617</v>
      </c>
      <c r="Q41" s="110">
        <v>113790.14000000001</v>
      </c>
      <c r="R41" s="110">
        <v>172.95000000000002</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451503</v>
      </c>
      <c r="AT41" s="113">
        <v>355</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57271</v>
      </c>
      <c r="E44" s="118">
        <v>57271</v>
      </c>
      <c r="F44" s="118"/>
      <c r="G44" s="118"/>
      <c r="H44" s="118"/>
      <c r="I44" s="117">
        <v>49286</v>
      </c>
      <c r="J44" s="117">
        <v>444971</v>
      </c>
      <c r="K44" s="118">
        <v>444971</v>
      </c>
      <c r="L44" s="118"/>
      <c r="M44" s="118"/>
      <c r="N44" s="118"/>
      <c r="O44" s="117"/>
      <c r="P44" s="117">
        <v>1944300</v>
      </c>
      <c r="Q44" s="118">
        <v>1948761.1545062771</v>
      </c>
      <c r="R44" s="118">
        <v>4461.1545062770283</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6493768</v>
      </c>
      <c r="AT44" s="119">
        <v>1324</v>
      </c>
      <c r="AU44" s="119"/>
      <c r="AV44" s="119"/>
      <c r="AW44" s="317"/>
    </row>
    <row r="45" spans="1:49" x14ac:dyDescent="0.2">
      <c r="B45" s="161" t="s">
        <v>262</v>
      </c>
      <c r="C45" s="62" t="s">
        <v>19</v>
      </c>
      <c r="D45" s="109">
        <v>53883</v>
      </c>
      <c r="E45" s="110">
        <v>53883</v>
      </c>
      <c r="F45" s="110"/>
      <c r="G45" s="110"/>
      <c r="H45" s="110"/>
      <c r="I45" s="109">
        <v>49221</v>
      </c>
      <c r="J45" s="109">
        <v>270150</v>
      </c>
      <c r="K45" s="110">
        <v>270150</v>
      </c>
      <c r="L45" s="110"/>
      <c r="M45" s="110"/>
      <c r="N45" s="110"/>
      <c r="O45" s="109"/>
      <c r="P45" s="109">
        <v>1126199</v>
      </c>
      <c r="Q45" s="110">
        <v>1128231.1445264514</v>
      </c>
      <c r="R45" s="110">
        <v>2032.1445264514068</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2897338</v>
      </c>
      <c r="AT45" s="113">
        <v>1543</v>
      </c>
      <c r="AU45" s="113"/>
      <c r="AV45" s="113"/>
      <c r="AW45" s="318"/>
    </row>
    <row r="46" spans="1:49" x14ac:dyDescent="0.2">
      <c r="B46" s="161" t="s">
        <v>263</v>
      </c>
      <c r="C46" s="62" t="s">
        <v>20</v>
      </c>
      <c r="D46" s="109">
        <v>51766</v>
      </c>
      <c r="E46" s="110">
        <v>51766</v>
      </c>
      <c r="F46" s="110"/>
      <c r="G46" s="110"/>
      <c r="H46" s="110"/>
      <c r="I46" s="109">
        <v>48790</v>
      </c>
      <c r="J46" s="109">
        <v>177976</v>
      </c>
      <c r="K46" s="110">
        <v>177976</v>
      </c>
      <c r="L46" s="110"/>
      <c r="M46" s="110"/>
      <c r="N46" s="110"/>
      <c r="O46" s="109"/>
      <c r="P46" s="109">
        <v>718262</v>
      </c>
      <c r="Q46" s="110">
        <v>719414.6663637181</v>
      </c>
      <c r="R46" s="110">
        <v>1152.6663637180779</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3396112</v>
      </c>
      <c r="AT46" s="113">
        <v>5915</v>
      </c>
      <c r="AU46" s="113"/>
      <c r="AV46" s="113"/>
      <c r="AW46" s="318"/>
    </row>
    <row r="47" spans="1:49" x14ac:dyDescent="0.2">
      <c r="B47" s="161" t="s">
        <v>264</v>
      </c>
      <c r="C47" s="62" t="s">
        <v>21</v>
      </c>
      <c r="D47" s="109">
        <v>118967</v>
      </c>
      <c r="E47" s="110">
        <v>118967</v>
      </c>
      <c r="F47" s="110"/>
      <c r="G47" s="110"/>
      <c r="H47" s="110"/>
      <c r="I47" s="109">
        <v>109287</v>
      </c>
      <c r="J47" s="109">
        <v>637145</v>
      </c>
      <c r="K47" s="110">
        <v>637145</v>
      </c>
      <c r="L47" s="110"/>
      <c r="M47" s="110"/>
      <c r="N47" s="110"/>
      <c r="O47" s="109"/>
      <c r="P47" s="109">
        <v>2361644</v>
      </c>
      <c r="Q47" s="110">
        <v>2374577.4201189489</v>
      </c>
      <c r="R47" s="110">
        <v>12933.420118948934</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4209282</v>
      </c>
      <c r="AT47" s="113">
        <v>406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39711.674250000011</v>
      </c>
      <c r="E49" s="110">
        <v>27375.61425000001</v>
      </c>
      <c r="F49" s="110"/>
      <c r="G49" s="110"/>
      <c r="H49" s="110"/>
      <c r="I49" s="109">
        <v>23100</v>
      </c>
      <c r="J49" s="109">
        <v>45136.32086</v>
      </c>
      <c r="K49" s="110">
        <v>-25513.989139999998</v>
      </c>
      <c r="L49" s="110"/>
      <c r="M49" s="110"/>
      <c r="N49" s="110"/>
      <c r="O49" s="109"/>
      <c r="P49" s="109">
        <v>865678.70530000003</v>
      </c>
      <c r="Q49" s="110">
        <v>582608.85591442091</v>
      </c>
      <c r="R49" s="110">
        <v>576.77061442093554</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-1659182.1196999997</v>
      </c>
      <c r="AT49" s="113">
        <v>-5141.1510040000003</v>
      </c>
      <c r="AU49" s="113"/>
      <c r="AV49" s="113"/>
      <c r="AW49" s="318"/>
    </row>
    <row r="50" spans="2:49" ht="25.5" x14ac:dyDescent="0.2">
      <c r="B50" s="155" t="s">
        <v>266</v>
      </c>
      <c r="C50" s="62"/>
      <c r="D50" s="109">
        <v>166.44</v>
      </c>
      <c r="E50" s="110">
        <v>166.44</v>
      </c>
      <c r="F50" s="110"/>
      <c r="G50" s="110"/>
      <c r="H50" s="110"/>
      <c r="I50" s="109">
        <v>145</v>
      </c>
      <c r="J50" s="109">
        <v>1070.6199999999999</v>
      </c>
      <c r="K50" s="110">
        <v>1070.6199999999999</v>
      </c>
      <c r="L50" s="110"/>
      <c r="M50" s="110"/>
      <c r="N50" s="110"/>
      <c r="O50" s="109"/>
      <c r="P50" s="109">
        <v>4350.1099999999997</v>
      </c>
      <c r="Q50" s="110">
        <v>4358.2022298680677</v>
      </c>
      <c r="R50" s="110">
        <v>8.0922298680675517</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10199.830000000004</v>
      </c>
      <c r="AT50" s="113">
        <v>13.219999999999999</v>
      </c>
      <c r="AU50" s="113"/>
      <c r="AV50" s="113"/>
      <c r="AW50" s="318"/>
    </row>
    <row r="51" spans="2:49" x14ac:dyDescent="0.2">
      <c r="B51" s="155" t="s">
        <v>267</v>
      </c>
      <c r="C51" s="62"/>
      <c r="D51" s="109">
        <v>323302</v>
      </c>
      <c r="E51" s="110">
        <v>323302</v>
      </c>
      <c r="F51" s="110"/>
      <c r="G51" s="110"/>
      <c r="H51" s="110"/>
      <c r="I51" s="109">
        <v>291041</v>
      </c>
      <c r="J51" s="109">
        <v>1965743</v>
      </c>
      <c r="K51" s="110">
        <v>1965743</v>
      </c>
      <c r="L51" s="110"/>
      <c r="M51" s="110"/>
      <c r="N51" s="110"/>
      <c r="O51" s="109"/>
      <c r="P51" s="109">
        <v>7886138</v>
      </c>
      <c r="Q51" s="110">
        <v>7900675.9083014568</v>
      </c>
      <c r="R51" s="110">
        <v>14537.90830145715</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36807976</v>
      </c>
      <c r="AT51" s="113">
        <v>26828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894</v>
      </c>
      <c r="E56" s="122">
        <v>912</v>
      </c>
      <c r="F56" s="122"/>
      <c r="G56" s="122"/>
      <c r="H56" s="122"/>
      <c r="I56" s="121">
        <v>861</v>
      </c>
      <c r="J56" s="121">
        <v>4790</v>
      </c>
      <c r="K56" s="122">
        <v>3078</v>
      </c>
      <c r="L56" s="122"/>
      <c r="M56" s="122"/>
      <c r="N56" s="122"/>
      <c r="O56" s="121"/>
      <c r="P56" s="121">
        <v>11845</v>
      </c>
      <c r="Q56" s="122">
        <v>15021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51026</v>
      </c>
      <c r="AT56" s="123">
        <v>1778</v>
      </c>
      <c r="AU56" s="123"/>
      <c r="AV56" s="123"/>
      <c r="AW56" s="309"/>
    </row>
    <row r="57" spans="2:49" x14ac:dyDescent="0.2">
      <c r="B57" s="161" t="s">
        <v>273</v>
      </c>
      <c r="C57" s="62" t="s">
        <v>25</v>
      </c>
      <c r="D57" s="124">
        <v>1290</v>
      </c>
      <c r="E57" s="125">
        <v>1240</v>
      </c>
      <c r="F57" s="125"/>
      <c r="G57" s="125"/>
      <c r="H57" s="125"/>
      <c r="I57" s="124">
        <v>1153</v>
      </c>
      <c r="J57" s="124">
        <v>7979</v>
      </c>
      <c r="K57" s="125">
        <v>4837</v>
      </c>
      <c r="L57" s="125"/>
      <c r="M57" s="125"/>
      <c r="N57" s="125"/>
      <c r="O57" s="124"/>
      <c r="P57" s="124">
        <v>24063</v>
      </c>
      <c r="Q57" s="125">
        <v>27111</v>
      </c>
      <c r="R57" s="125">
        <v>92</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65132</v>
      </c>
      <c r="AT57" s="126">
        <v>1778</v>
      </c>
      <c r="AU57" s="126"/>
      <c r="AV57" s="126"/>
      <c r="AW57" s="310"/>
    </row>
    <row r="58" spans="2:49" x14ac:dyDescent="0.2">
      <c r="B58" s="161" t="s">
        <v>274</v>
      </c>
      <c r="C58" s="62" t="s">
        <v>26</v>
      </c>
      <c r="D58" s="330"/>
      <c r="E58" s="331"/>
      <c r="F58" s="331"/>
      <c r="G58" s="331"/>
      <c r="H58" s="331"/>
      <c r="I58" s="330"/>
      <c r="J58" s="124">
        <v>494</v>
      </c>
      <c r="K58" s="125">
        <v>494</v>
      </c>
      <c r="L58" s="125"/>
      <c r="M58" s="125"/>
      <c r="N58" s="125"/>
      <c r="O58" s="124"/>
      <c r="P58" s="124">
        <v>187</v>
      </c>
      <c r="Q58" s="125">
        <v>187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20</v>
      </c>
      <c r="AT58" s="126"/>
      <c r="AU58" s="126"/>
      <c r="AV58" s="126"/>
      <c r="AW58" s="310"/>
    </row>
    <row r="59" spans="2:49" x14ac:dyDescent="0.2">
      <c r="B59" s="161" t="s">
        <v>275</v>
      </c>
      <c r="C59" s="62" t="s">
        <v>27</v>
      </c>
      <c r="D59" s="124">
        <v>15433</v>
      </c>
      <c r="E59" s="125">
        <v>14469</v>
      </c>
      <c r="F59" s="125"/>
      <c r="G59" s="125"/>
      <c r="H59" s="125"/>
      <c r="I59" s="124">
        <v>13223</v>
      </c>
      <c r="J59" s="124">
        <v>81436</v>
      </c>
      <c r="K59" s="125">
        <v>58894</v>
      </c>
      <c r="L59" s="125"/>
      <c r="M59" s="125"/>
      <c r="N59" s="125"/>
      <c r="O59" s="124"/>
      <c r="P59" s="124">
        <v>302114</v>
      </c>
      <c r="Q59" s="125">
        <v>325696</v>
      </c>
      <c r="R59" s="125">
        <v>679</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620870</v>
      </c>
      <c r="AT59" s="126">
        <v>18898</v>
      </c>
      <c r="AU59" s="126"/>
      <c r="AV59" s="126"/>
      <c r="AW59" s="310"/>
    </row>
    <row r="60" spans="2:49" x14ac:dyDescent="0.2">
      <c r="B60" s="161" t="s">
        <v>276</v>
      </c>
      <c r="C60" s="62"/>
      <c r="D60" s="127">
        <f t="shared" ref="D60:AC60" si="0">D$59/12</f>
        <v>1286.0833333333333</v>
      </c>
      <c r="E60" s="128">
        <f t="shared" si="0"/>
        <v>1205.75</v>
      </c>
      <c r="F60" s="128">
        <f t="shared" si="0"/>
        <v>0</v>
      </c>
      <c r="G60" s="128">
        <f t="shared" si="0"/>
        <v>0</v>
      </c>
      <c r="H60" s="128">
        <f t="shared" si="0"/>
        <v>0</v>
      </c>
      <c r="I60" s="127">
        <f t="shared" si="0"/>
        <v>1101.9166666666667</v>
      </c>
      <c r="J60" s="127">
        <f t="shared" si="0"/>
        <v>6786.333333333333</v>
      </c>
      <c r="K60" s="128">
        <f t="shared" si="0"/>
        <v>4907.833333333333</v>
      </c>
      <c r="L60" s="128">
        <f t="shared" si="0"/>
        <v>0</v>
      </c>
      <c r="M60" s="128">
        <f t="shared" si="0"/>
        <v>0</v>
      </c>
      <c r="N60" s="128">
        <f t="shared" si="0"/>
        <v>0</v>
      </c>
      <c r="O60" s="127">
        <f t="shared" si="0"/>
        <v>0</v>
      </c>
      <c r="P60" s="127">
        <f t="shared" si="0"/>
        <v>25176.166666666668</v>
      </c>
      <c r="Q60" s="128">
        <f t="shared" si="0"/>
        <v>27141.333333333332</v>
      </c>
      <c r="R60" s="128">
        <f t="shared" si="0"/>
        <v>56.583333333333336</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51739.166666666664</v>
      </c>
      <c r="AT60" s="129">
        <f>AT$59/12</f>
        <v>1574.8333333333333</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-38092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-5838781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6239636</v>
      </c>
      <c r="E5" s="118">
        <v>5807766.5447273999</v>
      </c>
      <c r="F5" s="118"/>
      <c r="G5" s="130"/>
      <c r="H5" s="130"/>
      <c r="I5" s="117">
        <v>4894241</v>
      </c>
      <c r="J5" s="117">
        <v>31093982</v>
      </c>
      <c r="K5" s="118">
        <v>23482388.606109098</v>
      </c>
      <c r="L5" s="118"/>
      <c r="M5" s="118"/>
      <c r="N5" s="118"/>
      <c r="O5" s="117"/>
      <c r="P5" s="117">
        <v>150536531</v>
      </c>
      <c r="Q5" s="118">
        <v>159219513.92376909</v>
      </c>
      <c r="R5" s="118">
        <v>264191.93</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535127292.99999994</v>
      </c>
      <c r="AT5" s="119">
        <v>334446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-1192192</v>
      </c>
      <c r="E11" s="110"/>
      <c r="F11" s="110"/>
      <c r="G11" s="110"/>
      <c r="H11" s="110"/>
      <c r="I11" s="109"/>
      <c r="J11" s="109">
        <v>-4.0000000048166839E-2</v>
      </c>
      <c r="K11" s="110"/>
      <c r="L11" s="110"/>
      <c r="M11" s="110"/>
      <c r="N11" s="110"/>
      <c r="O11" s="109"/>
      <c r="P11" s="109">
        <v>7400</v>
      </c>
      <c r="Q11" s="110">
        <v>12425.36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5991782</v>
      </c>
      <c r="AT11" s="113"/>
      <c r="AU11" s="113"/>
      <c r="AV11" s="311"/>
      <c r="AW11" s="318"/>
    </row>
    <row r="12" spans="2:49" x14ac:dyDescent="0.2">
      <c r="B12" s="176" t="s">
        <v>283</v>
      </c>
      <c r="C12" s="133" t="s">
        <v>44</v>
      </c>
      <c r="D12" s="109"/>
      <c r="E12" s="289"/>
      <c r="F12" s="289"/>
      <c r="G12" s="289"/>
      <c r="H12" s="289"/>
      <c r="I12" s="293"/>
      <c r="J12" s="109">
        <v>-0.44000000128289685</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-5395466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1706900.4300000002</v>
      </c>
      <c r="F15" s="110"/>
      <c r="G15" s="110"/>
      <c r="H15" s="110"/>
      <c r="I15" s="109">
        <v>1706900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614409.67000000004</v>
      </c>
      <c r="F16" s="110"/>
      <c r="G16" s="110"/>
      <c r="H16" s="110"/>
      <c r="I16" s="109">
        <v>614410</v>
      </c>
      <c r="J16" s="109"/>
      <c r="K16" s="110">
        <v>-1028302.66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800983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1471333.06</v>
      </c>
      <c r="F20" s="110"/>
      <c r="G20" s="110"/>
      <c r="H20" s="110"/>
      <c r="I20" s="109">
        <v>1471333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8387995.9999999991</v>
      </c>
      <c r="E23" s="288"/>
      <c r="F23" s="288"/>
      <c r="G23" s="288"/>
      <c r="H23" s="288"/>
      <c r="I23" s="292"/>
      <c r="J23" s="109">
        <v>25564302</v>
      </c>
      <c r="K23" s="288"/>
      <c r="L23" s="288"/>
      <c r="M23" s="288"/>
      <c r="N23" s="288"/>
      <c r="O23" s="292"/>
      <c r="P23" s="109">
        <v>135510090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415376241</v>
      </c>
      <c r="AT23" s="113">
        <v>237102</v>
      </c>
      <c r="AU23" s="113"/>
      <c r="AV23" s="311"/>
      <c r="AW23" s="318"/>
    </row>
    <row r="24" spans="2:49" ht="28.5" customHeight="1" x14ac:dyDescent="0.2">
      <c r="B24" s="178" t="s">
        <v>114</v>
      </c>
      <c r="C24" s="133"/>
      <c r="D24" s="293"/>
      <c r="E24" s="110">
        <v>8746395.0700000022</v>
      </c>
      <c r="F24" s="110"/>
      <c r="G24" s="110"/>
      <c r="H24" s="110"/>
      <c r="I24" s="109">
        <v>7795738</v>
      </c>
      <c r="J24" s="293"/>
      <c r="K24" s="110">
        <v>17846251.199999999</v>
      </c>
      <c r="L24" s="110"/>
      <c r="M24" s="110"/>
      <c r="N24" s="110"/>
      <c r="O24" s="109"/>
      <c r="P24" s="293"/>
      <c r="Q24" s="110">
        <v>142558655.83999997</v>
      </c>
      <c r="R24" s="110">
        <v>334902.95</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1550528</v>
      </c>
      <c r="E26" s="288"/>
      <c r="F26" s="288"/>
      <c r="G26" s="288"/>
      <c r="H26" s="288"/>
      <c r="I26" s="292"/>
      <c r="J26" s="109">
        <v>2757266</v>
      </c>
      <c r="K26" s="288"/>
      <c r="L26" s="288"/>
      <c r="M26" s="288"/>
      <c r="N26" s="288"/>
      <c r="O26" s="292"/>
      <c r="P26" s="109">
        <v>12840242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46250087</v>
      </c>
      <c r="AT26" s="113">
        <v>15981</v>
      </c>
      <c r="AU26" s="113"/>
      <c r="AV26" s="311"/>
      <c r="AW26" s="318"/>
    </row>
    <row r="27" spans="2:49" s="5" customFormat="1" ht="25.5" x14ac:dyDescent="0.2">
      <c r="B27" s="178" t="s">
        <v>85</v>
      </c>
      <c r="C27" s="133"/>
      <c r="D27" s="293"/>
      <c r="E27" s="110">
        <v>304421.24470000016</v>
      </c>
      <c r="F27" s="110"/>
      <c r="G27" s="110"/>
      <c r="H27" s="110"/>
      <c r="I27" s="109">
        <v>290029</v>
      </c>
      <c r="J27" s="293"/>
      <c r="K27" s="110">
        <v>437077.81727598596</v>
      </c>
      <c r="L27" s="110"/>
      <c r="M27" s="110"/>
      <c r="N27" s="110"/>
      <c r="O27" s="109"/>
      <c r="P27" s="293"/>
      <c r="Q27" s="110">
        <v>3114009.6214606473</v>
      </c>
      <c r="R27" s="110">
        <v>7704.0189</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146076</v>
      </c>
      <c r="E28" s="289"/>
      <c r="F28" s="289"/>
      <c r="G28" s="289"/>
      <c r="H28" s="289"/>
      <c r="I28" s="293"/>
      <c r="J28" s="109">
        <v>2900703</v>
      </c>
      <c r="K28" s="289"/>
      <c r="L28" s="289"/>
      <c r="M28" s="289"/>
      <c r="N28" s="289"/>
      <c r="O28" s="293"/>
      <c r="P28" s="109">
        <v>12665455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20587993</v>
      </c>
      <c r="AT28" s="113">
        <v>19575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32903</v>
      </c>
      <c r="K30" s="288"/>
      <c r="L30" s="288"/>
      <c r="M30" s="288"/>
      <c r="N30" s="288"/>
      <c r="O30" s="292"/>
      <c r="P30" s="109">
        <v>2484</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32903.480000000003</v>
      </c>
      <c r="L31" s="110"/>
      <c r="M31" s="110"/>
      <c r="N31" s="110"/>
      <c r="O31" s="109"/>
      <c r="P31" s="293"/>
      <c r="Q31" s="110">
        <v>-10611.009999999998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13095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3130423</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-1192192</v>
      </c>
      <c r="E41" s="288"/>
      <c r="F41" s="288"/>
      <c r="G41" s="288"/>
      <c r="H41" s="288"/>
      <c r="I41" s="292"/>
      <c r="J41" s="109">
        <v>6191</v>
      </c>
      <c r="K41" s="288"/>
      <c r="L41" s="288"/>
      <c r="M41" s="288"/>
      <c r="N41" s="288"/>
      <c r="O41" s="292"/>
      <c r="P41" s="109">
        <v>7400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5991782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12425.36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345817</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-5395466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127186</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8749</v>
      </c>
      <c r="E49" s="110">
        <v>35156.18</v>
      </c>
      <c r="F49" s="110"/>
      <c r="G49" s="110"/>
      <c r="H49" s="110"/>
      <c r="I49" s="109">
        <v>30918</v>
      </c>
      <c r="J49" s="109">
        <v>131954</v>
      </c>
      <c r="K49" s="110">
        <v>206960.0620709857</v>
      </c>
      <c r="L49" s="110"/>
      <c r="M49" s="110"/>
      <c r="N49" s="110"/>
      <c r="O49" s="109"/>
      <c r="P49" s="109">
        <v>326247</v>
      </c>
      <c r="Q49" s="110">
        <v>1880648.0279290145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2747271</v>
      </c>
      <c r="AT49" s="113"/>
      <c r="AU49" s="113"/>
      <c r="AV49" s="311"/>
      <c r="AW49" s="318"/>
    </row>
    <row r="50" spans="2:49" x14ac:dyDescent="0.2">
      <c r="B50" s="176" t="s">
        <v>119</v>
      </c>
      <c r="C50" s="133" t="s">
        <v>34</v>
      </c>
      <c r="D50" s="109">
        <v>1311</v>
      </c>
      <c r="E50" s="289"/>
      <c r="F50" s="289"/>
      <c r="G50" s="289"/>
      <c r="H50" s="289"/>
      <c r="I50" s="293"/>
      <c r="J50" s="109">
        <v>368</v>
      </c>
      <c r="K50" s="289"/>
      <c r="L50" s="289"/>
      <c r="M50" s="289"/>
      <c r="N50" s="289"/>
      <c r="O50" s="293"/>
      <c r="P50" s="109">
        <v>359699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1342539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408634</v>
      </c>
      <c r="L53" s="110"/>
      <c r="M53" s="110"/>
      <c r="N53" s="110"/>
      <c r="O53" s="109"/>
      <c r="P53" s="109"/>
      <c r="Q53" s="110">
        <v>-644542</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8592818</v>
      </c>
      <c r="E54" s="115">
        <f>E24+E27+E31+E35-E36+E39+E42+E45+E46-E49+E51+E52+E53</f>
        <v>9015660.1347000021</v>
      </c>
      <c r="F54" s="115">
        <f>F24+F27+F31+F35-F36+F39+F42+F45+F46-F49+F51+F52+F53</f>
        <v>0</v>
      </c>
      <c r="G54" s="115">
        <f>G24+G27+G31+G35-G36+G39+G42+G45+G46-G49+G51+G52+G53</f>
        <v>0</v>
      </c>
      <c r="H54" s="115">
        <f>H24+H27+H31+H35-H36+H39+H42+H45+H46-H49+H51+H52+H53</f>
        <v>0</v>
      </c>
      <c r="I54" s="114">
        <f>I24+I27+I31+I35-I36+I39+I42+I45+I46-I49+I51+I52+I53</f>
        <v>8054849</v>
      </c>
      <c r="J54" s="114">
        <f>J23+J26-J28+J30-J32+J34-J36+J38+J41-J43+J45+J46-J47-J49+J50+J51+J52+J53</f>
        <v>24982556</v>
      </c>
      <c r="K54" s="115">
        <f>K24+K27+K31+K35-K36+K39+K42+K45+K46-K49+K51+K52+K53</f>
        <v>18517906.435205001</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135715118</v>
      </c>
      <c r="Q54" s="115">
        <f>Q24+Q27+Q31+Q35-Q36+Q39+Q42+Q45+Q46-Q49+Q51+Q52+Q53</f>
        <v>143149289.78353164</v>
      </c>
      <c r="R54" s="115">
        <f>R24+R27+R31+R35-R36+R39+R42+R45+R46-R49+R51+R52+R53</f>
        <v>342606.96890000004</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454024088</v>
      </c>
      <c r="AT54" s="116">
        <f>AT23+AT26-AT28+AT30-AT32+AT34-AT36+AT38+AT41-AT43+AT45+AT46-AT47-AT49+AT50+AT51+AT52+AT53</f>
        <v>233508</v>
      </c>
      <c r="AU54" s="116">
        <f>AU23+AU26-AU28+AU30-AU32+AU34-AU36+AU38+AU41-AU43+AU45+AU46-AU47-AU49+AU50+AU51+AU52+AU53</f>
        <v>0</v>
      </c>
      <c r="AV54" s="311"/>
      <c r="AW54" s="318"/>
    </row>
    <row r="55" spans="2:49" ht="25.5" x14ac:dyDescent="0.2">
      <c r="B55" s="181" t="s">
        <v>304</v>
      </c>
      <c r="C55" s="137" t="s">
        <v>28</v>
      </c>
      <c r="D55" s="114">
        <f t="shared" ref="D55:AC55" si="0">MIN(MAX(0,D56),MAX(0,D57))</f>
        <v>893</v>
      </c>
      <c r="E55" s="115">
        <f t="shared" si="0"/>
        <v>893</v>
      </c>
      <c r="F55" s="115">
        <f t="shared" si="0"/>
        <v>0</v>
      </c>
      <c r="G55" s="115">
        <f t="shared" si="0"/>
        <v>0</v>
      </c>
      <c r="H55" s="115">
        <f t="shared" si="0"/>
        <v>0</v>
      </c>
      <c r="I55" s="114">
        <f t="shared" si="0"/>
        <v>694</v>
      </c>
      <c r="J55" s="114">
        <f t="shared" si="0"/>
        <v>58355</v>
      </c>
      <c r="K55" s="115">
        <f t="shared" si="0"/>
        <v>58355</v>
      </c>
      <c r="L55" s="115">
        <f t="shared" si="0"/>
        <v>0</v>
      </c>
      <c r="M55" s="115">
        <f t="shared" si="0"/>
        <v>0</v>
      </c>
      <c r="N55" s="115">
        <f t="shared" si="0"/>
        <v>0</v>
      </c>
      <c r="O55" s="114">
        <f t="shared" si="0"/>
        <v>0</v>
      </c>
      <c r="P55" s="114">
        <f t="shared" si="0"/>
        <v>265545</v>
      </c>
      <c r="Q55" s="115">
        <f t="shared" si="0"/>
        <v>265551.38</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5599</v>
      </c>
      <c r="E56" s="110">
        <v>5599</v>
      </c>
      <c r="F56" s="110"/>
      <c r="G56" s="110"/>
      <c r="H56" s="110"/>
      <c r="I56" s="109">
        <v>4507</v>
      </c>
      <c r="J56" s="109">
        <v>58355</v>
      </c>
      <c r="K56" s="110">
        <v>58355</v>
      </c>
      <c r="L56" s="110"/>
      <c r="M56" s="110"/>
      <c r="N56" s="110"/>
      <c r="O56" s="109"/>
      <c r="P56" s="109">
        <v>265545</v>
      </c>
      <c r="Q56" s="110">
        <v>265551.38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893</v>
      </c>
      <c r="E57" s="110">
        <v>893</v>
      </c>
      <c r="F57" s="110"/>
      <c r="G57" s="110"/>
      <c r="H57" s="110"/>
      <c r="I57" s="109">
        <v>694</v>
      </c>
      <c r="J57" s="109">
        <v>180227</v>
      </c>
      <c r="K57" s="110">
        <v>180227</v>
      </c>
      <c r="L57" s="110"/>
      <c r="M57" s="110"/>
      <c r="N57" s="110"/>
      <c r="O57" s="109"/>
      <c r="P57" s="109">
        <v>744690</v>
      </c>
      <c r="Q57" s="110">
        <v>744690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1474189</v>
      </c>
      <c r="AT57" s="113"/>
      <c r="AU57" s="113"/>
      <c r="AV57" s="113"/>
      <c r="AW57" s="318"/>
    </row>
    <row r="58" spans="2:49" s="5" customFormat="1" x14ac:dyDescent="0.2">
      <c r="B58" s="184" t="s">
        <v>484</v>
      </c>
      <c r="C58" s="185"/>
      <c r="D58" s="186"/>
      <c r="E58" s="187">
        <v>213874.75999999998</v>
      </c>
      <c r="F58" s="187"/>
      <c r="G58" s="187"/>
      <c r="H58" s="187"/>
      <c r="I58" s="186">
        <v>213875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2492278.3000000003</v>
      </c>
      <c r="D5" s="118">
        <v>1758403.6973000001</v>
      </c>
      <c r="E5" s="346"/>
      <c r="F5" s="346"/>
      <c r="G5" s="312"/>
      <c r="H5" s="117">
        <v>26370546.18</v>
      </c>
      <c r="I5" s="118">
        <v>23411708.775384072</v>
      </c>
      <c r="J5" s="346"/>
      <c r="K5" s="346"/>
      <c r="L5" s="312"/>
      <c r="M5" s="117">
        <v>177918766.12</v>
      </c>
      <c r="N5" s="118">
        <v>157231817.09481594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2494646.09</v>
      </c>
      <c r="D6" s="110">
        <v>1743363.2423</v>
      </c>
      <c r="E6" s="115">
        <f>SUM('Pt 1 Summary of Data'!E$12,'Pt 1 Summary of Data'!E$22)+SUM('Pt 1 Summary of Data'!G$12,'Pt 1 Summary of Data'!G$22)-SUM('Pt 1 Summary of Data'!H$12,'Pt 1 Summary of Data'!H$22)</f>
        <v>9016553.1347000021</v>
      </c>
      <c r="F6" s="115">
        <f t="shared" ref="F6:F11" si="0">SUM(C6:E6)</f>
        <v>13254562.467000002</v>
      </c>
      <c r="G6" s="116">
        <f>SUM('Pt 1 Summary of Data'!I$12,'Pt 1 Summary of Data'!I$22)</f>
        <v>8055543</v>
      </c>
      <c r="H6" s="109">
        <v>29060539.651825666</v>
      </c>
      <c r="I6" s="110">
        <v>23467006.524972305</v>
      </c>
      <c r="J6" s="115">
        <f>SUM('Pt 1 Summary of Data'!K$12,'Pt 1 Summary of Data'!K$22)+SUM('Pt 1 Summary of Data'!M$12,'Pt 1 Summary of Data'!M$22)-SUM('Pt 1 Summary of Data'!N$12,'Pt 1 Summary of Data'!N$22)</f>
        <v>18576261.435205001</v>
      </c>
      <c r="K6" s="115">
        <f>SUM(H6:J6)</f>
        <v>71103807.612002969</v>
      </c>
      <c r="L6" s="116">
        <f>SUM('Pt 1 Summary of Data'!O$12,'Pt 1 Summary of Data'!O$22)</f>
        <v>0</v>
      </c>
      <c r="M6" s="109">
        <v>186618268.5381743</v>
      </c>
      <c r="N6" s="110">
        <v>157205665.80852771</v>
      </c>
      <c r="O6" s="115">
        <f>SUM('Pt 1 Summary of Data'!Q$12,'Pt 1 Summary of Data'!Q$22)+SUM('Pt 1 Summary of Data'!S$12,'Pt 1 Summary of Data'!S$22)-SUM('Pt 1 Summary of Data'!T$12,'Pt 1 Summary of Data'!T$22)</f>
        <v>143414841.16353163</v>
      </c>
      <c r="P6" s="115">
        <f>SUM(M6:O6)</f>
        <v>487238775.51023364</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22649.96</v>
      </c>
      <c r="D7" s="110">
        <v>21473.449999999997</v>
      </c>
      <c r="E7" s="115">
        <f>SUM('Pt 1 Summary of Data'!E$37:E$41)+SUM('Pt 1 Summary of Data'!G$37:G$41)-SUM('Pt 1 Summary of Data'!H$37:H$41)+MAX(0,MIN('Pt 1 Summary of Data'!E$42+'Pt 1 Summary of Data'!G$42-'Pt 1 Summary of Data'!H$42,0.3%*('Pt 1 Summary of Data'!E$5+'Pt 1 Summary of Data'!G$5-'Pt 1 Summary of Data'!H$5-SUM(E$9:E$11))))</f>
        <v>36376.74</v>
      </c>
      <c r="F7" s="115">
        <f t="shared" si="0"/>
        <v>80500.149999999994</v>
      </c>
      <c r="G7" s="116">
        <f>SUM('Pt 1 Summary of Data'!I$37:I$41)+MAX(0,MIN('Pt 1 Summary of Data'!I$42,0.3%*('Pt 1 Summary of Data'!I$5-SUM(G$9:G$10))))</f>
        <v>27127</v>
      </c>
      <c r="H7" s="109">
        <v>739103.40999999992</v>
      </c>
      <c r="I7" s="110">
        <v>526720.59</v>
      </c>
      <c r="J7" s="115">
        <f>SUM('Pt 1 Summary of Data'!K$37:K$41)+SUM('Pt 1 Summary of Data'!M$37:M$41)-SUM('Pt 1 Summary of Data'!N$37:N$41)+MAX(0,MIN('Pt 1 Summary of Data'!K$42+'Pt 1 Summary of Data'!M$42-'Pt 1 Summary of Data'!N$42,0.3%*('Pt 1 Summary of Data'!K$5+'Pt 1 Summary of Data'!M$5-'Pt 1 Summary of Data'!N$5-SUM(J$10:J$11))))</f>
        <v>587130.65999999992</v>
      </c>
      <c r="K7" s="115">
        <f>SUM(H7:J7)</f>
        <v>1852954.66</v>
      </c>
      <c r="L7" s="116">
        <f>SUM('Pt 1 Summary of Data'!O$37:O$41)+MAX(0,MIN('Pt 1 Summary of Data'!O$42,0.3%*('Pt 1 Summary of Data'!O$5-L$10)))</f>
        <v>0</v>
      </c>
      <c r="M7" s="109">
        <v>3653529.8100000005</v>
      </c>
      <c r="N7" s="110">
        <v>2449693.4699999993</v>
      </c>
      <c r="O7" s="115">
        <f>SUM('Pt 1 Summary of Data'!Q$37:Q$41)+SUM('Pt 1 Summary of Data'!S$37:S$41)-SUM('Pt 1 Summary of Data'!T$37:T$41)+MAX(0,MIN('Pt 1 Summary of Data'!Q$42+'Pt 1 Summary of Data'!S$42-'Pt 1 Summary of Data'!T$42,0.3%*('Pt 1 Summary of Data'!Q$5+'Pt 1 Summary of Data'!S$5-'Pt 1 Summary of Data'!T$5)))</f>
        <v>2244667.8600000003</v>
      </c>
      <c r="P7" s="115">
        <f>SUM(M7:O7)</f>
        <v>8347891.1399999997</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213874.75999999998</v>
      </c>
      <c r="F8" s="269">
        <f t="shared" si="0"/>
        <v>213874.75999999998</v>
      </c>
      <c r="G8" s="270">
        <v>213875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1706900.4300000002</v>
      </c>
      <c r="F9" s="115">
        <f t="shared" si="0"/>
        <v>1706900.4300000002</v>
      </c>
      <c r="G9" s="116">
        <f>'Pt 2 Premium and Claims'!I$15</f>
        <v>1706900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614409.67000000004</v>
      </c>
      <c r="F10" s="115">
        <f t="shared" si="0"/>
        <v>614409.67000000004</v>
      </c>
      <c r="G10" s="116">
        <f>'Pt 2 Premium and Claims'!I$16</f>
        <v>614410</v>
      </c>
      <c r="H10" s="292"/>
      <c r="I10" s="288"/>
      <c r="J10" s="115">
        <f>'Pt 2 Premium and Claims'!K$16+'Pt 2 Premium and Claims'!M$16-'Pt 2 Premium and Claims'!N$16</f>
        <v>-1028302.66</v>
      </c>
      <c r="K10" s="115">
        <f>SUM(H10:J10)</f>
        <v>-1028302.66</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800983</v>
      </c>
      <c r="F11" s="115">
        <f t="shared" si="0"/>
        <v>800983</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2517296.0499999998</v>
      </c>
      <c r="D12" s="115">
        <f>SUM(D$6:D$7)+IF(AND(OR('Company Information'!$C$12="District of Columbia",'Company Information'!$C$12="Massachusetts",'Company Information'!$C$12="Vermont"),SUM($C$6:$F$11,$C$15:$F$16,$C$37:$D$37)&lt;&gt;0),SUM(I$6:I$7),0)</f>
        <v>1764836.6923</v>
      </c>
      <c r="E12" s="115">
        <f>SUM(E$6:E$7)-SUM(E$8:E$11)+IF(AND(OR('Company Information'!$C$12="District of Columbia",'Company Information'!$C$12="Massachusetts",'Company Information'!$C$12="Vermont"),SUM($C$6:$F$11,$C$15:$F$16,$C$37:$D$37)&lt;&gt;0),SUM(J$6:J$7)-SUM(J$10:J$11),0)</f>
        <v>5716762.014700002</v>
      </c>
      <c r="F12" s="115">
        <f>IFERROR(SUM(C$12:E$12)+C$17*MAX(0,E$49-C$49)+D$17*MAX(0,E$49-D$49),0)</f>
        <v>9998894.757000003</v>
      </c>
      <c r="G12" s="311"/>
      <c r="H12" s="114">
        <f>SUM(H$6:H$7)+IF(AND(OR('Company Information'!$C$12="District of Columbia",'Company Information'!$C$12="Massachusetts",'Company Information'!$C$12="Vermont"),SUM($H$6:$K$11,$H$15:$K$16,$H$37:$I$37)&lt;&gt;0),SUM(C$6:C$7),0)</f>
        <v>29799643.061825667</v>
      </c>
      <c r="I12" s="115">
        <f>SUM(I$6:I$7)+IF(AND(OR('Company Information'!$C$12="District of Columbia",'Company Information'!$C$12="Massachusetts",'Company Information'!$C$12="Vermont"),SUM($H$6:$K$11,$H$15:$K$16,$H$37:$I$37)&lt;&gt;0),SUM(D$6:D$7),0)</f>
        <v>23993727.114972305</v>
      </c>
      <c r="J12" s="115">
        <f>SUM(J$6:J$7)-SUM(J$10:J$11)+IF(AND(OR('Company Information'!$C$12="District of Columbia",'Company Information'!$C$12="Massachusetts",'Company Information'!$C$12="Vermont"),SUM($H$6:$K$11,$H$15:$K$16,$H$37:$I$37)&lt;&gt;0),SUM(E$6:E$7)-SUM(E$8:E$11),0)</f>
        <v>20191694.755205002</v>
      </c>
      <c r="K12" s="115">
        <f>IFERROR(SUM(H$12:J$12)+H$17*MAX(0,J$49-H$49)+I$17*MAX(0,J$49-I$49),0)</f>
        <v>73985064.932002977</v>
      </c>
      <c r="L12" s="311"/>
      <c r="M12" s="114">
        <f>SUM(M$6:M$7)</f>
        <v>190271798.3481743</v>
      </c>
      <c r="N12" s="115">
        <f>SUM(N$6:N$7)</f>
        <v>159655359.27852771</v>
      </c>
      <c r="O12" s="115">
        <f>SUM(O$6:O$7)</f>
        <v>145659509.02353165</v>
      </c>
      <c r="P12" s="115">
        <f>SUM(M$12:O$12)+M$17*MAX(0,O$49-M$49)+N$17*MAX(0,O$49-N$49)</f>
        <v>495586666.65023363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1559434.44</v>
      </c>
      <c r="D15" s="118">
        <v>1236275.1413336999</v>
      </c>
      <c r="E15" s="106">
        <f>SUM('Pt 1 Summary of Data'!E$5:E$7)+SUM('Pt 1 Summary of Data'!G$5:G$7)-SUM('Pt 1 Summary of Data'!H$5:H$7)-SUM(E$9:E$11)+D$55</f>
        <v>5807495.5447273999</v>
      </c>
      <c r="F15" s="106">
        <f>SUM(C15:E15)</f>
        <v>8603205.1260611005</v>
      </c>
      <c r="G15" s="107">
        <f>SUM('Pt 1 Summary of Data'!I$5:I$7)-SUM(G$9:G$10)</f>
        <v>4894241</v>
      </c>
      <c r="H15" s="117">
        <v>35044276.130000003</v>
      </c>
      <c r="I15" s="118">
        <v>30026402.673029099</v>
      </c>
      <c r="J15" s="106">
        <f>SUM('Pt 1 Summary of Data'!K$5:K$7)+SUM('Pt 1 Summary of Data'!M$5:M$7)-SUM('Pt 1 Summary of Data'!N$5:N$7)-SUM(J$10:J$11)+I$55</f>
        <v>23572837.964239098</v>
      </c>
      <c r="K15" s="106">
        <f>SUM(H15:J15)</f>
        <v>88643516.767268211</v>
      </c>
      <c r="L15" s="107">
        <f>SUM('Pt 1 Summary of Data'!O$5:O$7)-L$10</f>
        <v>0</v>
      </c>
      <c r="M15" s="117">
        <v>200272827.38000003</v>
      </c>
      <c r="N15" s="118">
        <v>175174985.19010803</v>
      </c>
      <c r="O15" s="106">
        <f>SUM('Pt 1 Summary of Data'!Q$5:Q$7)+SUM('Pt 1 Summary of Data'!S$5:S$7)-SUM('Pt 1 Summary of Data'!T$5:T$7)+N$55</f>
        <v>159469186.84550247</v>
      </c>
      <c r="P15" s="106">
        <f>SUM(M15:O15)</f>
        <v>534916999.41561055</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-48720</v>
      </c>
      <c r="D16" s="110">
        <v>-346428</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-41217.934950000061</v>
      </c>
      <c r="F16" s="115">
        <f>SUM(C16:E16)</f>
        <v>-436365.93495000008</v>
      </c>
      <c r="G16" s="116">
        <f>SUM('Pt 1 Summary of Data'!I$25:I$28,'Pt 1 Summary of Data'!I$30,'Pt 1 Summary of Data'!I$34:I$35)+IF('Company Information'!$C$15="No",IF(MAX('Pt 1 Summary of Data'!I$31:I$32)=0,MIN('Pt 1 Summary of Data'!I$31:I$32),MAX('Pt 1 Summary of Data'!I$31:I$32)),SUM('Pt 1 Summary of Data'!I$31:I$32))</f>
        <v>-470219</v>
      </c>
      <c r="H16" s="109">
        <v>611136</v>
      </c>
      <c r="I16" s="110">
        <v>939120.88294689567</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1450771.5895931043</v>
      </c>
      <c r="K16" s="115">
        <f>SUM(H16:J16)</f>
        <v>3001028.47254</v>
      </c>
      <c r="L16" s="116">
        <f>SUM('Pt 1 Summary of Data'!O$25:O$28,'Pt 1 Summary of Data'!O$30,'Pt 1 Summary of Data'!O$34:O$35)+IF('Company Information'!$C$15="No",IF(MAX('Pt 1 Summary of Data'!O$31:O$32)=0,MIN('Pt 1 Summary of Data'!O$31:O$32),MAX('Pt 1 Summary of Data'!O$31:O$32)),SUM('Pt 1 Summary of Data'!O$31:O$32))</f>
        <v>0</v>
      </c>
      <c r="M16" s="109">
        <v>862216.1</v>
      </c>
      <c r="N16" s="110">
        <v>-442500.48055748438</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2359947.5834994977</v>
      </c>
      <c r="P16" s="115">
        <f>SUM(M16:O16)</f>
        <v>2779663.2029420133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1608154.44</v>
      </c>
      <c r="D17" s="115">
        <f>D$15-D$16+IF(AND(OR('Company Information'!$C$12="District of Columbia",'Company Information'!$C$12="Massachusetts",'Company Information'!$C$12="Vermont"),SUM($C$6:$F$11,$C$15:$F$16,$C$37:$D$37)&lt;&gt;0),I$15-I$16,0)</f>
        <v>1582703.1413336999</v>
      </c>
      <c r="E17" s="115">
        <f>E$15-E$16+IF(AND(OR('Company Information'!$C$12="District of Columbia",'Company Information'!$C$12="Massachusetts",'Company Information'!$C$12="Vermont"),SUM($C$6:$F$11,$C$15:$F$16,$C$37:$D$37)&lt;&gt;0),J$15-J$16,0)</f>
        <v>5848713.4796773996</v>
      </c>
      <c r="F17" s="115">
        <f>F$15-F$16+IF(AND(OR('Company Information'!$C$12="District of Columbia",'Company Information'!$C$12="Massachusetts",'Company Information'!$C$12="Vermont"),SUM($C$6:$F$11,$C$15:$F$16,$C$37:$D$37)&lt;&gt;0),K$15-K$16,0)</f>
        <v>9039571.0610111002</v>
      </c>
      <c r="G17" s="314"/>
      <c r="H17" s="114">
        <f>H$15-H$16+IF(AND(OR('Company Information'!$C$12="District of Columbia",'Company Information'!$C$12="Massachusetts",'Company Information'!$C$12="Vermont"),SUM($H$6:$K$11,$H$15:$K$16,$H$37:$I$37)&lt;&gt;0),C$15-C$16,0)</f>
        <v>34433140.130000003</v>
      </c>
      <c r="I17" s="115">
        <f>I$15-I$16+IF(AND(OR('Company Information'!$C$12="District of Columbia",'Company Information'!$C$12="Massachusetts",'Company Information'!$C$12="Vermont"),SUM($H$6:$K$11,$H$15:$K$16,$H$37:$I$37)&lt;&gt;0),D$15-D$16,0)</f>
        <v>29087281.790082201</v>
      </c>
      <c r="J17" s="115">
        <f>J$15-J$16+IF(AND(OR('Company Information'!$C$12="District of Columbia",'Company Information'!$C$12="Massachusetts",'Company Information'!$C$12="Vermont"),SUM($H$6:$K$11,$H$15:$K$16,$H$37:$I$37)&lt;&gt;0),E$15-E$16,0)</f>
        <v>22122066.374645993</v>
      </c>
      <c r="K17" s="115">
        <f>K$15-K$16+IF(AND(OR('Company Information'!$C$12="District of Columbia",'Company Information'!$C$12="Massachusetts",'Company Information'!$C$12="Vermont"),SUM($H$6:$K$11,$H$15:$K$16,$H$37:$I$37)&lt;&gt;0),F$15-F$16,0)</f>
        <v>85642488.294728205</v>
      </c>
      <c r="L17" s="314"/>
      <c r="M17" s="114">
        <f>M$15-M$16</f>
        <v>199410611.28000003</v>
      </c>
      <c r="N17" s="115">
        <f>N$15-N$16</f>
        <v>175617485.6706655</v>
      </c>
      <c r="O17" s="115">
        <f>O$15-O$16</f>
        <v>157109239.26200297</v>
      </c>
      <c r="P17" s="115">
        <f>P$15-P$16</f>
        <v>532137336.21266854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5547485</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570870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1.0341180659376712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5.5500000000000001E-2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458661.32999999996</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-753895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458661.32999999996</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559312.32999999996</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559312.32999999996</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900400.53</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602673</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4334928.67</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559312.32999999996</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4334928.67</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1.2797177121717207</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800983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800983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190.66666666666666</v>
      </c>
      <c r="D37" s="122">
        <v>153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1205.75</v>
      </c>
      <c r="F37" s="256">
        <f>SUM(C$37:E$37)+IF(AND(OR('Company Information'!$C$12="District of Columbia",'Company Information'!$C$12="Massachusetts",'Company Information'!$C$12="Vermont"),SUM($C$6:$F$11,$C$15:$F$16,$C$37:$D$37)&lt;&gt;0,SUM(C$37:D$37)&lt;&gt;SUM(H$37:I$37)),SUM(H$37:I$37),0)</f>
        <v>1549.4166666666665</v>
      </c>
      <c r="G37" s="312"/>
      <c r="H37" s="121">
        <v>7849</v>
      </c>
      <c r="I37" s="122">
        <v>6395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4907.833333333333</v>
      </c>
      <c r="K37" s="256">
        <f>SUM(H$37:J$37)+IF(AND(OR('Company Information'!$C$12="District of Columbia",'Company Information'!$C$12="Massachusetts",'Company Information'!$C$12="Vermont"),SUM($H$6:$K$11,$H$15:$K$16,$H$37:$I$37)&lt;&gt;0,SUM(H$37:I$37)&lt;&gt;SUM(C$37:D$37)),SUM(C$37:D$37),0)</f>
        <v>19151.833333333332</v>
      </c>
      <c r="L37" s="312"/>
      <c r="M37" s="121">
        <v>39141.166666666664</v>
      </c>
      <c r="N37" s="122">
        <v>32078</v>
      </c>
      <c r="O37" s="256">
        <f>('Pt 1 Summary of Data'!Q$59+'Pt 1 Summary of Data'!S$59-'Pt 1 Summary of Data'!T$59)/12</f>
        <v>27141.333333333332</v>
      </c>
      <c r="P37" s="256">
        <f>SUM(M$37:O$37)</f>
        <v>98360.499999999985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7.1645388888888897E-2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1.9898777777777779E-2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7.1645388888888897E-2</v>
      </c>
      <c r="G41" s="311"/>
      <c r="H41" s="292"/>
      <c r="I41" s="288"/>
      <c r="J41" s="288"/>
      <c r="K41" s="260">
        <f ca="1">IF(OR(K$37&lt;1000,K$37&gt;=75000),0,K$38*K$40)</f>
        <v>1.9898777777777779E-2</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0.97743923250200393</v>
      </c>
      <c r="F44" s="260">
        <f>IF(OR(F$37&lt;1000,F$17&lt;=0),"",F$12/F$17)</f>
        <v>1.1061249133962336</v>
      </c>
      <c r="G44" s="311"/>
      <c r="H44" s="262">
        <f>IF(OR(H$37&lt;1000,H$17&lt;=0),"",H$12/H$17)</f>
        <v>0.86543495450368801</v>
      </c>
      <c r="I44" s="260">
        <f>IF(OR(I$37&lt;1000,I$17&lt;=0),"",I$12/I$17)</f>
        <v>0.82488722349963173</v>
      </c>
      <c r="J44" s="260">
        <f>IF(OR(J$37&lt;1000,J$17&lt;=0),"",J$12/J$17)</f>
        <v>0.91273999513655824</v>
      </c>
      <c r="K44" s="260">
        <f>IF(OR(K$37&lt;1000,K$17&lt;=0),"",K$12/K$17)</f>
        <v>0.86388271061663202</v>
      </c>
      <c r="L44" s="311"/>
      <c r="M44" s="262">
        <f>IF(OR(M$37&lt;1000,M$17&lt;=0),"",M$12/M$17)</f>
        <v>0.95417087950754254</v>
      </c>
      <c r="N44" s="260">
        <f>IF(OR(N$37&lt;1000,N$17&lt;=0),"",N$12/N$17)</f>
        <v>0.90910855868833307</v>
      </c>
      <c r="O44" s="260">
        <f>IF(OR(O$37&lt;1000,O$17&lt;=0),"",O$12/O$17)</f>
        <v>0.92712248947130849</v>
      </c>
      <c r="P44" s="260">
        <f>IF(OR(P$37&lt;1000,P$17&lt;=0),"",P$12/P$17)</f>
        <v>0.93131346538738746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7.1645388888888897E-2</v>
      </c>
      <c r="G46" s="311"/>
      <c r="H46" s="292"/>
      <c r="I46" s="288"/>
      <c r="J46" s="288"/>
      <c r="K46" s="260">
        <f ca="1">IF(K$44="","",K$41)</f>
        <v>1.9898777777777779E-2</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1.1779999999999999</v>
      </c>
      <c r="G47" s="311"/>
      <c r="H47" s="292"/>
      <c r="I47" s="288"/>
      <c r="J47" s="288"/>
      <c r="K47" s="260">
        <f ca="1">IF(K$44="","",ROUND(K$44+MAX(0,K$46),3))</f>
        <v>0.88400000000000001</v>
      </c>
      <c r="L47" s="311"/>
      <c r="M47" s="292"/>
      <c r="N47" s="288"/>
      <c r="O47" s="288"/>
      <c r="P47" s="260">
        <f>IF(P$44="","",ROUND(P$44+MAX(0,P$46),3))</f>
        <v>0.93100000000000005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2028</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1.1779999999999999</v>
      </c>
      <c r="G50" s="311"/>
      <c r="H50" s="293"/>
      <c r="I50" s="289"/>
      <c r="J50" s="289"/>
      <c r="K50" s="260">
        <f ca="1">K$47</f>
        <v>0.88400000000000001</v>
      </c>
      <c r="L50" s="311"/>
      <c r="M50" s="293"/>
      <c r="N50" s="289"/>
      <c r="O50" s="289"/>
      <c r="P50" s="260">
        <f>P$47</f>
        <v>0.93100000000000005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5848713.4796773996</v>
      </c>
      <c r="G51" s="311"/>
      <c r="H51" s="292"/>
      <c r="I51" s="288"/>
      <c r="J51" s="288"/>
      <c r="K51" s="115">
        <f>IF(K$37&lt;1000,"",MAX(0,J$15-J$16))</f>
        <v>22122066.374645993</v>
      </c>
      <c r="L51" s="311"/>
      <c r="M51" s="292"/>
      <c r="N51" s="288"/>
      <c r="O51" s="288"/>
      <c r="P51" s="115">
        <f>IF(P$37&lt;1000,"",MAX(0,O$15-O$16))</f>
        <v>157109239.26200297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 ca="1">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104855.35813000011</v>
      </c>
      <c r="J55" s="288"/>
      <c r="K55" s="288"/>
      <c r="L55" s="311"/>
      <c r="M55" s="292"/>
      <c r="N55" s="110">
        <v>315980.85242287297</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3270.1170531043372</v>
      </c>
      <c r="J56" s="288"/>
      <c r="K56" s="288"/>
      <c r="L56" s="311"/>
      <c r="M56" s="292"/>
      <c r="N56" s="110">
        <v>-796.25886008190173</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912</v>
      </c>
      <c r="D4" s="149">
        <f>'Pt 1 Summary of Data'!$K$56+'Pt 1 Summary of Data'!$M$56-'Pt 1 Summary of Data'!$N$56</f>
        <v>3078</v>
      </c>
      <c r="E4" s="149">
        <f>'Pt 1 Summary of Data'!$Q$56+'Pt 1 Summary of Data'!$S$56-'Pt 1 Summary of Data'!$T$56</f>
        <v>15021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