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AB38" i="10" s="1"/>
  <c r="Z45" i="10"/>
  <c r="Y45" i="10"/>
  <c r="X45" i="10"/>
  <c r="X47" i="10" s="1"/>
  <c r="X50" i="10" s="1"/>
  <c r="W45" i="10"/>
  <c r="V45" i="10"/>
  <c r="U45" i="10"/>
  <c r="T45" i="10"/>
  <c r="T47" i="10" s="1"/>
  <c r="T50" i="10" s="1"/>
  <c r="S45" i="10"/>
  <c r="R45" i="10"/>
  <c r="Q45" i="10"/>
  <c r="P44" i="10"/>
  <c r="O44" i="10"/>
  <c r="N44" i="10"/>
  <c r="M44" i="10"/>
  <c r="AB41" i="10"/>
  <c r="X41" i="10"/>
  <c r="T41" i="10"/>
  <c r="AB40" i="10"/>
  <c r="X40" i="10"/>
  <c r="T40" i="10"/>
  <c r="P40" i="10"/>
  <c r="K40" i="10"/>
  <c r="F40" i="10"/>
  <c r="P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S13" i="10" s="1"/>
  <c r="P15" i="10"/>
  <c r="O15" i="10"/>
  <c r="L15" i="10"/>
  <c r="AB13"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E7" i="10"/>
  <c r="F7" i="10" s="1"/>
  <c r="AB6" i="10"/>
  <c r="AA6" i="10"/>
  <c r="X6" i="10"/>
  <c r="W6" i="10"/>
  <c r="T6" i="10"/>
  <c r="S6" i="10"/>
  <c r="P6" i="10"/>
  <c r="O6" i="10"/>
  <c r="L6" i="10"/>
  <c r="K6" i="10"/>
  <c r="J6" i="10"/>
  <c r="G6" i="10"/>
  <c r="F6" i="10"/>
  <c r="E6" i="10"/>
  <c r="AU55" i="18"/>
  <c r="AT55" i="18"/>
  <c r="AS55" i="18"/>
  <c r="AC55" i="18"/>
  <c r="AB55" i="18"/>
  <c r="AA55" i="18"/>
  <c r="Z55" i="18"/>
  <c r="Y55" i="18"/>
  <c r="X55" i="18"/>
  <c r="W55" i="18"/>
  <c r="V55" i="18"/>
  <c r="V22" i="4" s="1"/>
  <c r="U55" i="18"/>
  <c r="U22" i="4" s="1"/>
  <c r="T55" i="18"/>
  <c r="S55" i="18"/>
  <c r="R55" i="18"/>
  <c r="Q55" i="18"/>
  <c r="Q22" i="4" s="1"/>
  <c r="P55" i="18"/>
  <c r="O55" i="18"/>
  <c r="N55" i="18"/>
  <c r="M55" i="18"/>
  <c r="M22" i="4" s="1"/>
  <c r="L55" i="18"/>
  <c r="L22" i="4" s="1"/>
  <c r="K55" i="18"/>
  <c r="J55" i="18"/>
  <c r="J22" i="4" s="1"/>
  <c r="I55" i="18"/>
  <c r="I22" i="4" s="1"/>
  <c r="H55" i="18"/>
  <c r="H22" i="4" s="1"/>
  <c r="G55" i="18"/>
  <c r="F55" i="18"/>
  <c r="E55" i="18"/>
  <c r="D55" i="18"/>
  <c r="D22" i="4" s="1"/>
  <c r="AU54" i="18"/>
  <c r="AU12" i="4" s="1"/>
  <c r="AT54" i="18"/>
  <c r="AS54" i="18"/>
  <c r="AS12" i="4" s="1"/>
  <c r="AC54" i="18"/>
  <c r="AC12" i="4" s="1"/>
  <c r="AB54" i="18"/>
  <c r="AA54" i="18"/>
  <c r="AA12" i="4" s="1"/>
  <c r="Z54" i="18"/>
  <c r="Z12" i="4" s="1"/>
  <c r="Y54" i="18"/>
  <c r="Y12" i="4" s="1"/>
  <c r="X54" i="18"/>
  <c r="X12" i="4" s="1"/>
  <c r="W54" i="18"/>
  <c r="V54" i="18"/>
  <c r="V12" i="4" s="1"/>
  <c r="U54" i="18"/>
  <c r="U12" i="4" s="1"/>
  <c r="T54" i="18"/>
  <c r="T12" i="4" s="1"/>
  <c r="S54" i="18"/>
  <c r="R54" i="18"/>
  <c r="Q54" i="18"/>
  <c r="P54" i="18"/>
  <c r="O54" i="18"/>
  <c r="O12" i="4" s="1"/>
  <c r="N54" i="18"/>
  <c r="M54" i="18"/>
  <c r="M12" i="4" s="1"/>
  <c r="L54" i="18"/>
  <c r="L12" i="4" s="1"/>
  <c r="K54" i="18"/>
  <c r="K12" i="4" s="1"/>
  <c r="J54" i="18"/>
  <c r="J12" i="4" s="1"/>
  <c r="I54" i="18"/>
  <c r="H54" i="18"/>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T22" i="4"/>
  <c r="S22" i="4"/>
  <c r="R22" i="4"/>
  <c r="P22" i="4"/>
  <c r="O22" i="4"/>
  <c r="N22" i="4"/>
  <c r="K22" i="4"/>
  <c r="G22" i="4"/>
  <c r="F22" i="4"/>
  <c r="E22" i="4"/>
  <c r="AT12" i="4"/>
  <c r="AB12" i="4"/>
  <c r="W12" i="4"/>
  <c r="S12" i="4"/>
  <c r="R12" i="4"/>
  <c r="Q12" i="4"/>
  <c r="P12" i="4"/>
  <c r="N12" i="4"/>
  <c r="I12" i="4"/>
  <c r="H12" i="4"/>
  <c r="G12" i="4"/>
  <c r="AU5" i="4"/>
  <c r="AT5" i="4"/>
  <c r="AS5" i="4"/>
  <c r="AC5" i="4"/>
  <c r="AB5" i="4"/>
  <c r="AA5" i="4"/>
  <c r="Z5" i="4"/>
  <c r="Y5" i="4"/>
  <c r="X5" i="4"/>
  <c r="W5" i="4"/>
  <c r="V5" i="4"/>
  <c r="U5" i="4"/>
  <c r="T5" i="4"/>
  <c r="S5" i="4"/>
  <c r="R5" i="4"/>
  <c r="Q5" i="4"/>
  <c r="P5" i="4"/>
  <c r="O5" i="4"/>
  <c r="N5" i="4"/>
  <c r="J15" i="10" s="1"/>
  <c r="M5" i="4"/>
  <c r="L5" i="4"/>
  <c r="K5" i="4"/>
  <c r="J7" i="10" s="1"/>
  <c r="J5" i="4"/>
  <c r="I5" i="4"/>
  <c r="G15" i="10" s="1"/>
  <c r="H5" i="4"/>
  <c r="G5" i="4"/>
  <c r="F5" i="4"/>
  <c r="E5" i="4"/>
  <c r="E15" i="10" s="1"/>
  <c r="D5" i="4"/>
  <c r="K15" i="10" l="1"/>
  <c r="E12" i="10"/>
  <c r="E17" i="10"/>
  <c r="F15" i="10"/>
  <c r="F17" i="10" s="1"/>
  <c r="K7" i="10"/>
  <c r="J17" i="10" s="1"/>
  <c r="J37" i="10"/>
  <c r="I17" i="10"/>
  <c r="I44" i="10" s="1"/>
  <c r="H17" i="10"/>
  <c r="H44" i="10" s="1"/>
  <c r="G7" i="10"/>
  <c r="C17" i="10"/>
  <c r="C44" i="10" s="1"/>
  <c r="E37" i="10"/>
  <c r="D17" i="10"/>
  <c r="D44" i="10" s="1"/>
  <c r="D12" i="10"/>
  <c r="L26" i="10"/>
  <c r="L30" i="10" s="1"/>
  <c r="G19" i="10"/>
  <c r="G21" i="10"/>
  <c r="G25" i="10"/>
  <c r="G28" i="10"/>
  <c r="X38" i="10"/>
  <c r="X46" i="10"/>
  <c r="T46" i="10"/>
  <c r="T38" i="10"/>
  <c r="P41" i="10"/>
  <c r="P46" i="10" s="1"/>
  <c r="P47" i="10" s="1"/>
  <c r="P50" i="10" s="1"/>
  <c r="P52" i="10" s="1"/>
  <c r="E11" i="16" s="1"/>
  <c r="X13" i="10"/>
  <c r="T13" i="10"/>
  <c r="W13" i="10"/>
  <c r="V13" i="10"/>
  <c r="J12" i="10"/>
  <c r="H12" i="10"/>
  <c r="C12" i="10"/>
  <c r="F12" i="10" s="1"/>
  <c r="U13" i="10"/>
  <c r="Q13" i="10"/>
  <c r="R13" i="10"/>
  <c r="I12" i="10"/>
  <c r="F37" i="10" l="1"/>
  <c r="E44" i="10"/>
  <c r="K37" i="10"/>
  <c r="J44" i="10"/>
  <c r="G29" i="10"/>
  <c r="G20" i="10"/>
  <c r="G24" i="10" s="1"/>
  <c r="G23" i="10" s="1"/>
  <c r="G27" i="10" s="1"/>
  <c r="K17" i="10"/>
  <c r="K12" i="10"/>
  <c r="G31" i="10" l="1"/>
  <c r="G32" i="10" s="1"/>
  <c r="G33" i="10" s="1"/>
  <c r="G26" i="10"/>
  <c r="G30" i="10" s="1"/>
  <c r="K52" i="10"/>
  <c r="D11" i="16" s="1"/>
  <c r="K41" i="10"/>
  <c r="K44" i="10"/>
  <c r="K38" i="10"/>
  <c r="K51" i="10"/>
  <c r="F52" i="10"/>
  <c r="C11" i="16" s="1"/>
  <c r="F44" i="10"/>
  <c r="F41" i="10"/>
  <c r="F38" i="10"/>
  <c r="F51" i="10"/>
  <c r="F46" i="10" l="1"/>
  <c r="F47" i="10"/>
  <c r="F50" i="10" s="1"/>
  <c r="K47" i="10"/>
  <c r="K50" i="10" s="1"/>
  <c r="K46"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<sst xmlns="http://schemas.openxmlformats.org/spreadsheetml/2006/main" count="568" uniqueCount="506">
  <si>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</si>
  <si>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</si>
  <si>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</si>
  <si>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</si>
  <si>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</si>
  <si>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</si>
  <si>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</si>
  <si>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</si>
  <si>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</si>
  <si>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</si>
  <si>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</si>
  <si>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</si>
  <si>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</si>
  <si>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</si>
  <si>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</si>
  <si>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</si>
  <si>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</si>
  <si>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</si>
  <si>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</si>
  <si>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</si>
  <si>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</si>
  <si>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</si>
  <si>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</si>
  <si>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</si>
  <si>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</si>
  <si>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</si>
  <si>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</si>
  <si>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</si>
  <si>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</si>
  <si>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</si>
  <si>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</si>
  <si>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</si>
  <si>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</si>
  <si>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</si>
  <si>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</si>
  <si>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</si>
  <si>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</si>
  <si>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</si>
  <si>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</si>
  <si>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</si>
  <si>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</si>
  <si>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</si>
  <si>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</si>
  <si>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</si>
  <si>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</si>
  <si>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</si>
  <si>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</si>
  <si>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</si>
  <si>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</si>
  <si>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</si>
  <si>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</si>
  <si>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</si>
  <si>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</si>
  <si>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</si>
  <si>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</si>
  <si>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</si>
  <si>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</si>
  <si>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</si>
  <si>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</si>
  <si>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</si>
  <si>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</si>
  <si>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</si>
  <si>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</si>
  <si>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</si>
  <si>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</si>
  <si>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</si>
  <si>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</si>
  <si>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</si>
  <si>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</si>
  <si>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</si>
  <si>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</si>
  <si>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</si>
  <si>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</si>
  <si>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</si>
  <si>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</si>
  <si>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</si>
  <si>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</si>
  <si>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</si>
  <si>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</si>
  <si>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</si>
  <si>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</si>
  <si>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</si>
  <si>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</si>
  <si>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</si>
  <si>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</si>
  <si>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</si>
  <si>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</si>
  <si>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</si>
  <si>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</si>
  <si>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</si>
  <si>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</si>
  <si>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</si>
  <si>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</si>
  <si>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</si>
  <si>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</si>
  <si>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</si>
  <si>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</si>
  <si>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</si>
  <si>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</si>
  <si>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</si>
  <si>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</si>
  <si>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</si>
  <si>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</si>
  <si>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</si>
  <si>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</si>
  <si>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</si>
  <si>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</si>
  <si>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</si>
  <si>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</si>
  <si>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</si>
  <si>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</si>
  <si>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</si>
  <si>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</si>
  <si>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</si>
  <si>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</si>
  <si>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</si>
  <si>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</si>
  <si>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</si>
  <si>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</si>
  <si>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</si>
  <si>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</si>
  <si>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</si>
  <si>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</si>
  <si>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</si>
  <si>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</si>
  <si>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</si>
  <si>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</si>
  <si>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</si>
  <si>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</si>
  <si>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</si>
  <si>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</si>
  <si>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</si>
  <si>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</si>
  <si>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</si>
  <si>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</si>
  <si>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</si>
  <si>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</si>
  <si>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</si>
  <si>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</si>
  <si>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</si>
  <si>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</si>
  <si>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</si>
  <si>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</si>
  <si>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</si>
  <si>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</si>
  <si>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</si>
  <si>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</si>
  <si>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</si>
  <si>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</si>
  <si>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</si>
  <si>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</si>
  <si>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</si>
  <si>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</si>
  <si>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</si>
  <si>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</si>
  <si>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</si>
  <si>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</si>
  <si>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</si>
  <si>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</si>
  <si>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</si>
  <si>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</si>
  <si>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</si>
  <si>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</si>
  <si>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</si>
  <si>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</si>
  <si>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</si>
  <si>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</si>
  <si>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</si>
  <si>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</si>
  <si>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</si>
  <si>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</si>
  <si>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</si>
  <si>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</si>
  <si>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</si>
  <si>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</si>
  <si>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</si>
  <si>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</si>
  <si>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</si>
  <si>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</si>
  <si>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</si>
  <si>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</si>
  <si>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</si>
  <si>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</si>
  <si>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</si>
  <si>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</si>
  <si>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</si>
  <si>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</si>
  <si>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</si>
  <si>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</si>
  <si>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</si>
  <si>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</si>
  <si>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</si>
  <si>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</si>
  <si>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</si>
  <si>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</si>
  <si>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</si>
  <si>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</si>
  <si>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</si>
  <si>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</si>
  <si>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</si>
  <si>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</si>
  <si>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</si>
  <si>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</si>
  <si>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</si>
  <si>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</si>
  <si>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</si>
  <si>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</si>
  <si>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</si>
  <si>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</si>
  <si>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</si>
  <si>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</si>
  <si>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</si>
  <si>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</si>
  <si>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</si>
  <si>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</si>
  <si>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</si>
  <si>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</si>
  <si>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</si>
  <si>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</si>
  <si>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</si>
  <si>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</si>
  <si>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</si>
  <si>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</si>
  <si>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</si>
  <si>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</si>
  <si>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</si>
  <si>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</si>
  <si>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</si>
  <si>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</si>
  <si>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</si>
  <si>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</si>
  <si>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</si>
  <si>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</si>
  <si>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</si>
  <si>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</si>
  <si>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</si>
  <si>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</si>
  <si>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</si>
  <si>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</si>
  <si>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</si>
  <si>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</si>
  <si>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</si>
  <si>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</si>
  <si>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</si>
  <si>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</si>
  <si>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</si>
  <si>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</si>
  <si>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</si>
  <si>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</si>
  <si>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</si>
  <si>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</si>
  <si>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</si>
  <si>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</si>
  <si>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</si>
  <si>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</si>
  <si>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</si>
  <si>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</si>
  <si>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</si>
  <si>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</si>
  <si>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</si>
  <si>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</si>
  <si>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</si>
  <si>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</si>
  <si>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</si>
  <si>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</si>
  <si>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</si>
  <si>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</si>
  <si>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</si>
  <si>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</si>
  <si>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</si>
  <si>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</si>
  <si>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</si>
  <si>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</si>
  <si>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</si>
  <si>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</si>
  <si>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</si>
  <si>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</si>
  <si>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</si>
  <si>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</si>
  <si>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</si>
  <si>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</si>
  <si>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</si>
  <si>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</si>
  <si>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</si>
  <si>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</si>
  <si>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</si>
  <si>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</si>
  <si>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</si>
  <si>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</si>
  <si>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</si>
  <si>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</si>
  <si>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</si>
  <si>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</si>
  <si>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</si>
  <si>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</si>
  <si>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</si>
  <si>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</si>
  <si>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</si>
  <si>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</si>
  <si>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</si>
  <si>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</si>
  <si>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</si>
  <si>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</si>
  <si>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</si>
  <si>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</si>
  <si>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</si>
  <si>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</si>
  <si>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</si>
  <si>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</si>
  <si>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</si>
  <si>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</si>
  <si>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</si>
  <si>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</si>
  <si>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</si>
  <si>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</si>
  <si>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</si>
  <si>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</si>
  <si>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</si>
  <si>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</si>
  <si>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</si>
  <si>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</si>
  <si>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</si>
  <si>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</si>
  <si>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</si>
  <si>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</si>
  <si>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</si>
  <si>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</si>
  <si>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</si>
  <si>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</si>
  <si>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</si>
  <si>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</si>
  <si>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</si>
  <si>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</si>
  <si>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</si>
  <si>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</si>
  <si>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</si>
  <si>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</si>
  <si>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</si>
  <si>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</si>
  <si>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</si>
  <si>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</si>
  <si>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</si>
  <si>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</si>
  <si>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</si>
  <si>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</si>
  <si>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</si>
  <si>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</si>
  <si>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</si>
  <si>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</si>
  <si>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</si>
  <si>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</si>
  <si>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</si>
  <si>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</si>
  <si>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</si>
  <si>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</si>
  <si>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</si>
  <si>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</si>
  <si>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</si>
  <si>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</si>
  <si>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</si>
  <si>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</si>
  <si>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</si>
  <si>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</si>
  <si>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</si>
  <si>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</si>
  <si>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</si>
  <si>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</si>
  <si>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</si>
  <si>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</si>
  <si>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</si>
  <si>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</si>
  <si>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</si>
  <si>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</si>
  <si>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</si>
  <si>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</si>
  <si>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</si>
  <si>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</si>
  <si>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</si>
  <si>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</si>
  <si>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</si>
  <si>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</si>
  <si>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</si>
  <si>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</si>
  <si>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</si>
  <si>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</si>
  <si>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</si>
  <si>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</si>
  <si>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</si>
  <si>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</si>
  <si>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</si>
  <si>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</si>
  <si>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</si>
  <si>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</si>
  <si>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</si>
  <si>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</si>
  <si>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</si>
  <si>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</si>
  <si>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</si>
  <si>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</si>
  <si>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</si>
  <si>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</si>
  <si>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</si>
  <si>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</si>
  <si>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</si>
  <si>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</si>
  <si>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</si>
  <si>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</si>
  <si>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</si>
  <si>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</si>
  <si>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</si>
  <si>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</si>
  <si>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</si>
  <si>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</si>
  <si>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</si>
  <si>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</si>
  <si>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</si>
  <si>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</si>
  <si>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</si>
  <si>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</si>
  <si>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</si>
  <si>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</si>
  <si>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</si>
  <si>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</si>
  <si>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</si>
  <si>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</si>
  <si>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</si>
  <si>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</si>
  <si>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</si>
  <si>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</si>
  <si>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</si>
  <si>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</si>
  <si>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</si>
  <si>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</si>
  <si>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</si>
  <si>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</si>
  <si>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</si>
  <si>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</si>
  <si>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</si>
  <si>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</si>
  <si>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</si>
  <si>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</si>
  <si>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</si>
  <si>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</si>
  <si>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</si>
  <si>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</si>
  <si>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</si>
  <si>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</si>
  <si>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</si>
  <si>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</si>
  <si>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</si>
  <si>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</si>
  <si>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</si>
  <si>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</si>
  <si>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</si>
  <si>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</si>
  <si>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</si>
  <si>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</si>
  <si>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</si>
  <si>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</si>
  <si>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</si>
  <si>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</si>
  <si>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</si>
  <si>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</si>
  <si>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</si>
  <si>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</si>
  <si>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</si>
  <si>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</si>
  <si>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</si>
  <si>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</si>
  <si>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</si>
  <si>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</si>
  <si>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</si>
  <si>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</si>
  <si>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</si>
  <si>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</si>
  <si>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</si>
  <si>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</si>
  <si>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</si>
  <si>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</si>
  <si>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</si>
  <si>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</si>
  <si>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</si>
  <si>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</si>
  <si>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</si>
  <si>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</si>
  <si>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</si>
  <si>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</si>
  <si>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</si>
  <si>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</si>
  <si>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</si>
  <si>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</si>
  <si>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</si>
  <si>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</si>
  <si>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</si>
  <si>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</si>
  <si>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</si>
  <si>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</si>
  <si>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</si>
  <si>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</si>
  <si>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</si>
  <si>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</si>
  <si>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</si>
  <si>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</si>
  <si>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49857</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</si>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</sst>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156</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822003</v>
      </c>
      <c r="K5" s="106">
        <f>SUM('Pt 2 Premium and Claims'!K$5,'Pt 2 Premium and Claims'!K$6,-'Pt 2 Premium and Claims'!K$7,-'Pt 2 Premium and Claims'!K$13,'Pt 2 Premium and Claims'!K$14,'Pt 2 Premium and Claims'!K$16:'Pt 2 Premium and Claims'!K$17)</f>
        <v>785104.50925190002</v>
      </c>
      <c r="L5" s="106">
        <f>SUM('Pt 2 Premium and Claims'!L$5,'Pt 2 Premium and Claims'!L$6,-'Pt 2 Premium and Claims'!L$7,-'Pt 2 Premium and Claims'!L$13,'Pt 2 Premium and Claims'!L$14,'Pt 2 Premium and Claims'!L$16:'Pt 2 Premium and Claims'!L$17)</f>
        <v>123099.35999999999</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31280001</v>
      </c>
      <c r="Q5" s="106">
        <f>SUM('Pt 2 Premium and Claims'!Q$5,'Pt 2 Premium and Claims'!Q$6,-'Pt 2 Premium and Claims'!Q$7,-'Pt 2 Premium and Claims'!Q$13,'Pt 2 Premium and Claims'!Q$14)</f>
        <v>33274485.510747895</v>
      </c>
      <c r="R5" s="106">
        <f>SUM('Pt 2 Premium and Claims'!R$5,'Pt 2 Premium and Claims'!R$6,-'Pt 2 Premium and Claims'!R$7,-'Pt 2 Premium and Claims'!R$13,'Pt 2 Premium and Claims'!R$14)</f>
        <v>1825635.4200000002</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175611102</v>
      </c>
      <c r="AT5" s="107">
        <f>SUM('Pt 2 Premium and Claims'!AT$5,'Pt 2 Premium and Claims'!AT$6,-'Pt 2 Premium and Claims'!AT$7,-'Pt 2 Premium and Claims'!AT$13,'Pt 2 Premium and Claims'!AT$14)</f>
        <v>85077</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-85</v>
      </c>
      <c r="K7" s="110">
        <v>-306.26045180058395</v>
      </c>
      <c r="L7" s="110">
        <v>-221.26045180058398</v>
      </c>
      <c r="M7" s="110"/>
      <c r="N7" s="110"/>
      <c r="O7" s="109"/>
      <c r="P7" s="109">
        <v>-18398</v>
      </c>
      <c r="Q7" s="110">
        <v>-22001.003364880678</v>
      </c>
      <c r="R7" s="110">
        <v>-3603.0033648806775</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-1762</v>
      </c>
      <c r="K8" s="289"/>
      <c r="L8" s="290"/>
      <c r="M8" s="290"/>
      <c r="N8" s="290"/>
      <c r="O8" s="293"/>
      <c r="P8" s="109">
        <v>-59858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-34626</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356206</v>
      </c>
      <c r="K12" s="106">
        <f>'Pt 2 Premium and Claims'!K$54</f>
        <v>442251.95413180377</v>
      </c>
      <c r="L12" s="106">
        <f>'Pt 2 Premium and Claims'!L$54</f>
        <v>62027.786800000002</v>
      </c>
      <c r="M12" s="106">
        <f>'Pt 2 Premium and Claims'!M$54</f>
        <v>0</v>
      </c>
      <c r="N12" s="106">
        <f>'Pt 2 Premium and Claims'!N$54</f>
        <v>0</v>
      </c>
      <c r="O12" s="105">
        <f>'Pt 2 Premium and Claims'!O$54</f>
        <v>0</v>
      </c>
      <c r="P12" s="105">
        <f>'Pt 2 Premium and Claims'!P$54</f>
        <v>29900542</v>
      </c>
      <c r="Q12" s="106">
        <f>'Pt 2 Premium and Claims'!Q$54</f>
        <v>31683050.147268198</v>
      </c>
      <c r="R12" s="106">
        <f>'Pt 2 Premium and Claims'!R$54</f>
        <v>2127920.9172</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148788514</v>
      </c>
      <c r="AT12" s="107">
        <f>'Pt 2 Premium and Claims'!AT$54</f>
        <v>-27</v>
      </c>
      <c r="AU12" s="107">
        <f>'Pt 2 Premium and Claims'!AU$54</f>
        <v>0</v>
      </c>
      <c r="AV12" s="312"/>
      <c r="AW12" s="317"/>
    </row>
    <row r="13" spans="1:49" ht="25.5" x14ac:dyDescent="0.2">
      <c r="B13" s="155" t="s">
        <v>230</v>
      </c>
      <c r="C13" s="62" t="s">
        <v>37</v>
      </c>
      <c r="D13" s="109"/>
      <c r="E13" s="110"/>
      <c r="F13" s="110"/>
      <c r="G13" s="289"/>
      <c r="H13" s="290"/>
      <c r="I13" s="109"/>
      <c r="J13" s="109">
        <v>114857</v>
      </c>
      <c r="K13" s="110">
        <v>113179.5990490262</v>
      </c>
      <c r="L13" s="110"/>
      <c r="M13" s="289"/>
      <c r="N13" s="290"/>
      <c r="O13" s="109"/>
      <c r="P13" s="109">
        <v>5545999</v>
      </c>
      <c r="Q13" s="110">
        <v>5642245.8209509738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17517915</v>
      </c>
      <c r="AT13" s="113"/>
      <c r="AU13" s="113"/>
      <c r="AV13" s="311"/>
      <c r="AW13" s="318"/>
    </row>
    <row r="14" spans="1:49" ht="25.5" x14ac:dyDescent="0.2">
      <c r="B14" s="155" t="s">
        <v>231</v>
      </c>
      <c r="C14" s="62" t="s">
        <v>6</v>
      </c>
      <c r="D14" s="109"/>
      <c r="E14" s="110"/>
      <c r="F14" s="110"/>
      <c r="G14" s="288"/>
      <c r="H14" s="291"/>
      <c r="I14" s="109"/>
      <c r="J14" s="109">
        <v>14319</v>
      </c>
      <c r="K14" s="110">
        <v>14448.8466886931</v>
      </c>
      <c r="L14" s="110"/>
      <c r="M14" s="288"/>
      <c r="N14" s="291"/>
      <c r="O14" s="109"/>
      <c r="P14" s="109">
        <v>604474</v>
      </c>
      <c r="Q14" s="110">
        <v>606748.36331130692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4383765</v>
      </c>
      <c r="AT14" s="113"/>
      <c r="AU14" s="113"/>
      <c r="AV14" s="311"/>
      <c r="AW14" s="318"/>
    </row>
    <row r="15" spans="1:49" ht="38.25" x14ac:dyDescent="0.2">
      <c r="B15" s="155" t="s">
        <v>232</v>
      </c>
      <c r="C15" s="62" t="s">
        <v>7</v>
      </c>
      <c r="D15" s="109"/>
      <c r="E15" s="110"/>
      <c r="F15" s="110"/>
      <c r="G15" s="288"/>
      <c r="H15" s="294"/>
      <c r="I15" s="109"/>
      <c r="J15" s="109">
        <v>13</v>
      </c>
      <c r="K15" s="110">
        <v>13</v>
      </c>
      <c r="L15" s="110"/>
      <c r="M15" s="288"/>
      <c r="N15" s="294"/>
      <c r="O15" s="109"/>
      <c r="P15" s="109">
        <v>952</v>
      </c>
      <c r="Q15" s="110">
        <v>952</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2777</v>
      </c>
      <c r="AT15" s="113">
        <v>1</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24</v>
      </c>
      <c r="K22" s="115">
        <f>'Pt 2 Premium and Claims'!K$55</f>
        <v>24</v>
      </c>
      <c r="L22" s="115">
        <f>'Pt 2 Premium and Claims'!L$55</f>
        <v>0</v>
      </c>
      <c r="M22" s="115">
        <f>'Pt 2 Premium and Claims'!M$55</f>
        <v>0</v>
      </c>
      <c r="N22" s="115">
        <f>'Pt 2 Premium and Claims'!N$55</f>
        <v>0</v>
      </c>
      <c r="O22" s="114">
        <f>'Pt 2 Premium and Claims'!O$55</f>
        <v>0</v>
      </c>
      <c r="P22" s="114">
        <f>'Pt 2 Premium and Claims'!P$55</f>
        <v>57280</v>
      </c>
      <c r="Q22" s="115">
        <f>'Pt 2 Premium and Claims'!Q$55</f>
        <v>57343.95</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119353.4966</v>
      </c>
      <c r="K25" s="110">
        <v>121670.852336827</v>
      </c>
      <c r="L25" s="110">
        <v>2317.3557368269903</v>
      </c>
      <c r="M25" s="110"/>
      <c r="N25" s="110"/>
      <c r="O25" s="109"/>
      <c r="P25" s="109">
        <v>-1152959.58</v>
      </c>
      <c r="Q25" s="110">
        <v>-1159281.9692469363</v>
      </c>
      <c r="R25" s="110">
        <v>-6322.3892469362363</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3165110.89</v>
      </c>
      <c r="AT25" s="113">
        <v>33075.695290000003</v>
      </c>
      <c r="AU25" s="113"/>
      <c r="AV25" s="113"/>
      <c r="AW25" s="318"/>
    </row>
    <row r="26" spans="1:49" s="5" customFormat="1" x14ac:dyDescent="0.2">
      <c r="A26" s="35"/>
      <c r="B26" s="158" t="s">
        <v>243</v>
      </c>
      <c r="C26" s="62"/>
      <c r="D26" s="109"/>
      <c r="E26" s="110"/>
      <c r="F26" s="110"/>
      <c r="G26" s="110"/>
      <c r="H26" s="110"/>
      <c r="I26" s="109"/>
      <c r="J26" s="109"/>
      <c r="K26" s="110">
        <v>442.01321150830165</v>
      </c>
      <c r="L26" s="110">
        <v>68.463211508301697</v>
      </c>
      <c r="M26" s="110"/>
      <c r="N26" s="110"/>
      <c r="O26" s="109"/>
      <c r="P26" s="109"/>
      <c r="Q26" s="110">
        <v>12984.516378512661</v>
      </c>
      <c r="R26" s="110">
        <v>813.83637851266008</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8978.2199999999993</v>
      </c>
      <c r="K27" s="110">
        <v>10641.711307363603</v>
      </c>
      <c r="L27" s="110">
        <v>1663.4913073636033</v>
      </c>
      <c r="M27" s="110"/>
      <c r="N27" s="110"/>
      <c r="O27" s="109"/>
      <c r="P27" s="109">
        <v>388411.88</v>
      </c>
      <c r="Q27" s="110">
        <v>406654.89488783781</v>
      </c>
      <c r="R27" s="110">
        <v>18243.014887837802</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2180051.39</v>
      </c>
      <c r="AT27" s="113"/>
      <c r="AU27" s="113"/>
      <c r="AV27" s="314"/>
      <c r="AW27" s="318"/>
    </row>
    <row r="28" spans="1:49" s="5" customFormat="1" x14ac:dyDescent="0.2">
      <c r="A28" s="35"/>
      <c r="B28" s="158" t="s">
        <v>245</v>
      </c>
      <c r="C28" s="62"/>
      <c r="D28" s="109"/>
      <c r="E28" s="110"/>
      <c r="F28" s="110"/>
      <c r="G28" s="110"/>
      <c r="H28" s="110"/>
      <c r="I28" s="109"/>
      <c r="J28" s="109">
        <v>12384.779999999999</v>
      </c>
      <c r="K28" s="110">
        <v>1918.8234097085117</v>
      </c>
      <c r="L28" s="110">
        <v>288.00340970851158</v>
      </c>
      <c r="M28" s="110"/>
      <c r="N28" s="110"/>
      <c r="O28" s="109"/>
      <c r="P28" s="109">
        <v>337903.88999999996</v>
      </c>
      <c r="Q28" s="110">
        <v>71394.244717340771</v>
      </c>
      <c r="R28" s="110">
        <v>3545.6447173407823</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34210.120000000003</v>
      </c>
      <c r="AT28" s="113">
        <v>0.71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9331.7843259999991</v>
      </c>
      <c r="K30" s="110">
        <v>9869.2144143652386</v>
      </c>
      <c r="L30" s="110">
        <v>193.84008836523964</v>
      </c>
      <c r="M30" s="110"/>
      <c r="N30" s="110"/>
      <c r="O30" s="109"/>
      <c r="P30" s="109">
        <v>-84951.562719999987</v>
      </c>
      <c r="Q30" s="110">
        <v>-72340.35958131215</v>
      </c>
      <c r="R30" s="110">
        <v>366.79313868784413</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259737.24220000001</v>
      </c>
      <c r="AT30" s="113">
        <v>2563.0306049999999</v>
      </c>
      <c r="AU30" s="113"/>
      <c r="AV30" s="113"/>
      <c r="AW30" s="318"/>
    </row>
    <row r="31" spans="1:49" x14ac:dyDescent="0.2">
      <c r="B31" s="158" t="s">
        <v>248</v>
      </c>
      <c r="C31" s="62"/>
      <c r="D31" s="109"/>
      <c r="E31" s="110"/>
      <c r="F31" s="110"/>
      <c r="G31" s="110"/>
      <c r="H31" s="110"/>
      <c r="I31" s="109"/>
      <c r="J31" s="109">
        <v>5246.41</v>
      </c>
      <c r="K31" s="110">
        <v>6120.9783842241286</v>
      </c>
      <c r="L31" s="110">
        <v>874.56838422412852</v>
      </c>
      <c r="M31" s="110"/>
      <c r="N31" s="110"/>
      <c r="O31" s="109"/>
      <c r="P31" s="109">
        <v>23647.47</v>
      </c>
      <c r="Q31" s="110">
        <v>33401.535048410311</v>
      </c>
      <c r="R31" s="110">
        <v>9754.065048410308</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602.41999999999996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13615.116932979949</v>
      </c>
      <c r="L34" s="110">
        <v>1949.7269329799494</v>
      </c>
      <c r="M34" s="110"/>
      <c r="N34" s="110"/>
      <c r="O34" s="109"/>
      <c r="P34" s="109"/>
      <c r="Q34" s="110">
        <v>343509.58694039122</v>
      </c>
      <c r="R34" s="110">
        <v>25107.256940391184</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442.5</v>
      </c>
      <c r="K35" s="110">
        <v>652.10935735976739</v>
      </c>
      <c r="L35" s="110">
        <v>89.049357359767399</v>
      </c>
      <c r="M35" s="110"/>
      <c r="N35" s="110"/>
      <c r="O35" s="109"/>
      <c r="P35" s="109">
        <v>18852.679999999997</v>
      </c>
      <c r="Q35" s="110">
        <v>19850.78296055035</v>
      </c>
      <c r="R35" s="110">
        <v>995.86296055035086</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90251.77</v>
      </c>
      <c r="AT35" s="113">
        <v>1.49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3537</v>
      </c>
      <c r="K37" s="118">
        <v>3792.0099999999998</v>
      </c>
      <c r="L37" s="118">
        <v>254.98</v>
      </c>
      <c r="M37" s="118"/>
      <c r="N37" s="118"/>
      <c r="O37" s="117"/>
      <c r="P37" s="117">
        <v>180517</v>
      </c>
      <c r="Q37" s="118">
        <v>185135.57</v>
      </c>
      <c r="R37" s="118">
        <v>4618.55</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1340367</v>
      </c>
      <c r="AT37" s="119"/>
      <c r="AU37" s="119"/>
      <c r="AV37" s="119"/>
      <c r="AW37" s="317"/>
    </row>
    <row r="38" spans="1:49" x14ac:dyDescent="0.2">
      <c r="B38" s="155" t="s">
        <v>255</v>
      </c>
      <c r="C38" s="62" t="s">
        <v>16</v>
      </c>
      <c r="D38" s="109"/>
      <c r="E38" s="110"/>
      <c r="F38" s="110"/>
      <c r="G38" s="110"/>
      <c r="H38" s="110"/>
      <c r="I38" s="109"/>
      <c r="J38" s="109">
        <v>1220</v>
      </c>
      <c r="K38" s="110">
        <v>1405.98</v>
      </c>
      <c r="L38" s="110">
        <v>186.08999999999997</v>
      </c>
      <c r="M38" s="110"/>
      <c r="N38" s="110"/>
      <c r="O38" s="109"/>
      <c r="P38" s="109">
        <v>40022</v>
      </c>
      <c r="Q38" s="110">
        <v>43346.209999999992</v>
      </c>
      <c r="R38" s="110">
        <v>3324.75</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583559</v>
      </c>
      <c r="AT38" s="113"/>
      <c r="AU38" s="113"/>
      <c r="AV38" s="113"/>
      <c r="AW38" s="318"/>
    </row>
    <row r="39" spans="1:49" x14ac:dyDescent="0.2">
      <c r="B39" s="158" t="s">
        <v>256</v>
      </c>
      <c r="C39" s="62" t="s">
        <v>17</v>
      </c>
      <c r="D39" s="109"/>
      <c r="E39" s="110"/>
      <c r="F39" s="110"/>
      <c r="G39" s="110"/>
      <c r="H39" s="110"/>
      <c r="I39" s="109"/>
      <c r="J39" s="109">
        <v>1965</v>
      </c>
      <c r="K39" s="110">
        <v>2002.88</v>
      </c>
      <c r="L39" s="110">
        <v>37.839999999999996</v>
      </c>
      <c r="M39" s="110"/>
      <c r="N39" s="110"/>
      <c r="O39" s="109"/>
      <c r="P39" s="109">
        <v>46311</v>
      </c>
      <c r="Q39" s="110">
        <v>47040.82</v>
      </c>
      <c r="R39" s="110">
        <v>729.48</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394867</v>
      </c>
      <c r="AT39" s="113"/>
      <c r="AU39" s="113"/>
      <c r="AV39" s="113"/>
      <c r="AW39" s="318"/>
    </row>
    <row r="40" spans="1:49" x14ac:dyDescent="0.2">
      <c r="B40" s="158" t="s">
        <v>257</v>
      </c>
      <c r="C40" s="62" t="s">
        <v>38</v>
      </c>
      <c r="D40" s="109"/>
      <c r="E40" s="110"/>
      <c r="F40" s="110"/>
      <c r="G40" s="110"/>
      <c r="H40" s="110"/>
      <c r="I40" s="109"/>
      <c r="J40" s="109">
        <v>8086</v>
      </c>
      <c r="K40" s="110">
        <v>8267.2699999999986</v>
      </c>
      <c r="L40" s="110">
        <v>180.83999999999997</v>
      </c>
      <c r="M40" s="110"/>
      <c r="N40" s="110"/>
      <c r="O40" s="109"/>
      <c r="P40" s="109">
        <v>350150</v>
      </c>
      <c r="Q40" s="110">
        <v>353791.35000000003</v>
      </c>
      <c r="R40" s="110">
        <v>3641.48</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1553795</v>
      </c>
      <c r="AT40" s="113"/>
      <c r="AU40" s="113"/>
      <c r="AV40" s="113"/>
      <c r="AW40" s="318"/>
    </row>
    <row r="41" spans="1:49" s="5" customFormat="1" ht="25.5" x14ac:dyDescent="0.2">
      <c r="A41" s="35"/>
      <c r="B41" s="158" t="s">
        <v>258</v>
      </c>
      <c r="C41" s="62" t="s">
        <v>129</v>
      </c>
      <c r="D41" s="109"/>
      <c r="E41" s="110"/>
      <c r="F41" s="110"/>
      <c r="G41" s="110"/>
      <c r="H41" s="110"/>
      <c r="I41" s="109"/>
      <c r="J41" s="109">
        <v>676</v>
      </c>
      <c r="K41" s="110">
        <v>777.7</v>
      </c>
      <c r="L41" s="110">
        <v>102.18999999999998</v>
      </c>
      <c r="M41" s="110"/>
      <c r="N41" s="110"/>
      <c r="O41" s="109"/>
      <c r="P41" s="109">
        <v>25739</v>
      </c>
      <c r="Q41" s="110">
        <v>27836.599999999995</v>
      </c>
      <c r="R41" s="110">
        <v>2097.5299999999997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178132</v>
      </c>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7206</v>
      </c>
      <c r="K44" s="118">
        <v>8913.4194409197098</v>
      </c>
      <c r="L44" s="118">
        <v>1707.4194409197105</v>
      </c>
      <c r="M44" s="118"/>
      <c r="N44" s="118"/>
      <c r="O44" s="117"/>
      <c r="P44" s="117">
        <v>472550</v>
      </c>
      <c r="Q44" s="118">
        <v>504355.61055893981</v>
      </c>
      <c r="R44" s="118">
        <v>31805.610558939832</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1693893</v>
      </c>
      <c r="AT44" s="119"/>
      <c r="AU44" s="119"/>
      <c r="AV44" s="119"/>
      <c r="AW44" s="317"/>
    </row>
    <row r="45" spans="1:49" x14ac:dyDescent="0.2">
      <c r="B45" s="161" t="s">
        <v>262</v>
      </c>
      <c r="C45" s="62" t="s">
        <v>19</v>
      </c>
      <c r="D45" s="109"/>
      <c r="E45" s="110"/>
      <c r="F45" s="110"/>
      <c r="G45" s="110"/>
      <c r="H45" s="110"/>
      <c r="I45" s="109"/>
      <c r="J45" s="109">
        <v>4349</v>
      </c>
      <c r="K45" s="110">
        <v>5328.5365504321353</v>
      </c>
      <c r="L45" s="110">
        <v>979.53655043213541</v>
      </c>
      <c r="M45" s="110"/>
      <c r="N45" s="110"/>
      <c r="O45" s="109"/>
      <c r="P45" s="109">
        <v>270271</v>
      </c>
      <c r="Q45" s="110">
        <v>287440.41626589722</v>
      </c>
      <c r="R45" s="110">
        <v>17169.416265897191</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1113847</v>
      </c>
      <c r="AT45" s="113"/>
      <c r="AU45" s="113"/>
      <c r="AV45" s="113"/>
      <c r="AW45" s="318"/>
    </row>
    <row r="46" spans="1:49" x14ac:dyDescent="0.2">
      <c r="B46" s="161" t="s">
        <v>263</v>
      </c>
      <c r="C46" s="62" t="s">
        <v>20</v>
      </c>
      <c r="D46" s="109"/>
      <c r="E46" s="110"/>
      <c r="F46" s="110"/>
      <c r="G46" s="110"/>
      <c r="H46" s="110"/>
      <c r="I46" s="109"/>
      <c r="J46" s="109">
        <v>5466</v>
      </c>
      <c r="K46" s="110">
        <v>6245.8337898847094</v>
      </c>
      <c r="L46" s="110">
        <v>779.8337898847094</v>
      </c>
      <c r="M46" s="110"/>
      <c r="N46" s="110"/>
      <c r="O46" s="109"/>
      <c r="P46" s="109">
        <v>226763</v>
      </c>
      <c r="Q46" s="110">
        <v>240741.79277546221</v>
      </c>
      <c r="R46" s="110">
        <v>13978.792775462221</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1933936</v>
      </c>
      <c r="AT46" s="113">
        <v>2</v>
      </c>
      <c r="AU46" s="113"/>
      <c r="AV46" s="113"/>
      <c r="AW46" s="318"/>
    </row>
    <row r="47" spans="1:49" x14ac:dyDescent="0.2">
      <c r="B47" s="161" t="s">
        <v>264</v>
      </c>
      <c r="C47" s="62" t="s">
        <v>21</v>
      </c>
      <c r="D47" s="109"/>
      <c r="E47" s="110"/>
      <c r="F47" s="110"/>
      <c r="G47" s="110"/>
      <c r="H47" s="110"/>
      <c r="I47" s="109"/>
      <c r="J47" s="109">
        <v>46555</v>
      </c>
      <c r="K47" s="110">
        <v>53188.028324338455</v>
      </c>
      <c r="L47" s="110">
        <v>6633.0283243384538</v>
      </c>
      <c r="M47" s="110"/>
      <c r="N47" s="110"/>
      <c r="O47" s="109"/>
      <c r="P47" s="109">
        <v>223941</v>
      </c>
      <c r="Q47" s="110">
        <v>326187.72950732074</v>
      </c>
      <c r="R47" s="110">
        <v>102246.72950732072</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1339591</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-7415.9343260000014</v>
      </c>
      <c r="K49" s="110">
        <v>-9290.5412724511534</v>
      </c>
      <c r="L49" s="110">
        <v>-125.47694645115264</v>
      </c>
      <c r="M49" s="110"/>
      <c r="N49" s="110"/>
      <c r="O49" s="109"/>
      <c r="P49" s="109">
        <v>402185.49271999998</v>
      </c>
      <c r="Q49" s="110">
        <v>339452.88044911443</v>
      </c>
      <c r="R49" s="110">
        <v>10031.757729114461</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-348656.34219999996</v>
      </c>
      <c r="AT49" s="113">
        <v>-9087.6806050000014</v>
      </c>
      <c r="AU49" s="113"/>
      <c r="AV49" s="113"/>
      <c r="AW49" s="318"/>
    </row>
    <row r="50" spans="2:49" ht="25.5" x14ac:dyDescent="0.2">
      <c r="B50" s="155" t="s">
        <v>266</v>
      </c>
      <c r="C50" s="62"/>
      <c r="D50" s="109"/>
      <c r="E50" s="110"/>
      <c r="F50" s="110"/>
      <c r="G50" s="110"/>
      <c r="H50" s="110"/>
      <c r="I50" s="109"/>
      <c r="J50" s="109">
        <v>23.130000000000003</v>
      </c>
      <c r="K50" s="110">
        <v>27.201230728176753</v>
      </c>
      <c r="L50" s="110">
        <v>4.0712307281767526</v>
      </c>
      <c r="M50" s="110"/>
      <c r="N50" s="110"/>
      <c r="O50" s="109"/>
      <c r="P50" s="109">
        <v>1072.4099999999999</v>
      </c>
      <c r="Q50" s="110">
        <v>1144.1794581596664</v>
      </c>
      <c r="R50" s="110">
        <v>71.769458159666556</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5530.3099999999995</v>
      </c>
      <c r="AT50" s="113"/>
      <c r="AU50" s="113"/>
      <c r="AV50" s="113"/>
      <c r="AW50" s="318"/>
    </row>
    <row r="51" spans="2:49" x14ac:dyDescent="0.2">
      <c r="B51" s="155" t="s">
        <v>267</v>
      </c>
      <c r="C51" s="62"/>
      <c r="D51" s="109"/>
      <c r="E51" s="110"/>
      <c r="F51" s="110"/>
      <c r="G51" s="110"/>
      <c r="H51" s="110"/>
      <c r="I51" s="109"/>
      <c r="J51" s="109">
        <v>47932</v>
      </c>
      <c r="K51" s="110">
        <v>55386.295812616067</v>
      </c>
      <c r="L51" s="110">
        <v>7454.2958126160665</v>
      </c>
      <c r="M51" s="110"/>
      <c r="N51" s="110"/>
      <c r="O51" s="109"/>
      <c r="P51" s="109">
        <v>1989648</v>
      </c>
      <c r="Q51" s="110">
        <v>2128141.6736133378</v>
      </c>
      <c r="R51" s="110">
        <v>138493.67361333763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8775719</v>
      </c>
      <c r="AT51" s="113">
        <v>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108</v>
      </c>
      <c r="K56" s="122">
        <v>121</v>
      </c>
      <c r="L56" s="122"/>
      <c r="M56" s="122"/>
      <c r="N56" s="122"/>
      <c r="O56" s="121"/>
      <c r="P56" s="121">
        <v>3298</v>
      </c>
      <c r="Q56" s="122">
        <v>3378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3231</v>
      </c>
      <c r="AT56" s="123"/>
      <c r="AU56" s="123"/>
      <c r="AV56" s="123"/>
      <c r="AW56" s="309"/>
    </row>
    <row r="57" spans="2:49" x14ac:dyDescent="0.2">
      <c r="B57" s="161" t="s">
        <v>273</v>
      </c>
      <c r="C57" s="62" t="s">
        <v>25</v>
      </c>
      <c r="D57" s="124"/>
      <c r="E57" s="125"/>
      <c r="F57" s="125"/>
      <c r="G57" s="125"/>
      <c r="H57" s="125"/>
      <c r="I57" s="124"/>
      <c r="J57" s="124">
        <v>180</v>
      </c>
      <c r="K57" s="125">
        <v>203</v>
      </c>
      <c r="L57" s="125">
        <v>33</v>
      </c>
      <c r="M57" s="125"/>
      <c r="N57" s="125"/>
      <c r="O57" s="124"/>
      <c r="P57" s="124">
        <v>6699</v>
      </c>
      <c r="Q57" s="125">
        <v>6705</v>
      </c>
      <c r="R57" s="125">
        <v>767</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17119</v>
      </c>
      <c r="AT57" s="126"/>
      <c r="AU57" s="126"/>
      <c r="AV57" s="126"/>
      <c r="AW57" s="310"/>
    </row>
    <row r="58" spans="2:49" x14ac:dyDescent="0.2">
      <c r="B58" s="161" t="s">
        <v>274</v>
      </c>
      <c r="C58" s="62" t="s">
        <v>26</v>
      </c>
      <c r="D58" s="330"/>
      <c r="E58" s="331"/>
      <c r="F58" s="331"/>
      <c r="G58" s="331"/>
      <c r="H58" s="331"/>
      <c r="I58" s="330"/>
      <c r="J58" s="124">
        <v>21</v>
      </c>
      <c r="K58" s="125">
        <v>21</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12</v>
      </c>
      <c r="AT58" s="126"/>
      <c r="AU58" s="126"/>
      <c r="AV58" s="126"/>
      <c r="AW58" s="310"/>
    </row>
    <row r="59" spans="2:49" x14ac:dyDescent="0.2">
      <c r="B59" s="161" t="s">
        <v>275</v>
      </c>
      <c r="C59" s="62" t="s">
        <v>27</v>
      </c>
      <c r="D59" s="124"/>
      <c r="E59" s="125"/>
      <c r="F59" s="125"/>
      <c r="G59" s="125"/>
      <c r="H59" s="125"/>
      <c r="I59" s="124"/>
      <c r="J59" s="124">
        <v>2401</v>
      </c>
      <c r="K59" s="125">
        <v>2489</v>
      </c>
      <c r="L59" s="125">
        <v>340</v>
      </c>
      <c r="M59" s="125"/>
      <c r="N59" s="125"/>
      <c r="O59" s="124"/>
      <c r="P59" s="124">
        <v>74947</v>
      </c>
      <c r="Q59" s="125">
        <v>75533</v>
      </c>
      <c r="R59" s="125">
        <v>6104</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204017</v>
      </c>
      <c r="AT59" s="126"/>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200.08333333333334</v>
      </c>
      <c r="K60" s="128">
        <f t="shared" si="0"/>
        <v>207.41666666666666</v>
      </c>
      <c r="L60" s="128">
        <f t="shared" si="0"/>
        <v>28.333333333333332</v>
      </c>
      <c r="M60" s="128">
        <f t="shared" si="0"/>
        <v>0</v>
      </c>
      <c r="N60" s="128">
        <f t="shared" si="0"/>
        <v>0</v>
      </c>
      <c r="O60" s="127">
        <f t="shared" si="0"/>
        <v>0</v>
      </c>
      <c r="P60" s="127">
        <f t="shared" si="0"/>
        <v>6245.583333333333</v>
      </c>
      <c r="Q60" s="128">
        <f t="shared" si="0"/>
        <v>6294.416666666667</v>
      </c>
      <c r="R60" s="128">
        <f t="shared" si="0"/>
        <v>508.66666666666669</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17001.416666666668</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-9826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-5297621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822003</v>
      </c>
      <c r="K5" s="118">
        <v>910297.59925189998</v>
      </c>
      <c r="L5" s="118">
        <v>123099.35999999999</v>
      </c>
      <c r="M5" s="118"/>
      <c r="N5" s="118"/>
      <c r="O5" s="117"/>
      <c r="P5" s="117">
        <v>31280001</v>
      </c>
      <c r="Q5" s="118">
        <v>33274485.510747895</v>
      </c>
      <c r="R5" s="118">
        <v>1825635.4200000002</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175611102</v>
      </c>
      <c r="AT5" s="119">
        <v>85077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1172156</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-592909</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1086990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-502518</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-125193.09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194146</v>
      </c>
      <c r="K23" s="288"/>
      <c r="L23" s="288"/>
      <c r="M23" s="288"/>
      <c r="N23" s="288"/>
      <c r="O23" s="292"/>
      <c r="P23" s="109">
        <v>29385446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149830121</v>
      </c>
      <c r="AT23" s="113"/>
      <c r="AU23" s="113"/>
      <c r="AV23" s="311"/>
      <c r="AW23" s="318"/>
    </row>
    <row r="24" spans="2:49" ht="28.5" customHeight="1" x14ac:dyDescent="0.2">
      <c r="B24" s="178" t="s">
        <v>114</v>
      </c>
      <c r="C24" s="133"/>
      <c r="D24" s="293"/>
      <c r="E24" s="110"/>
      <c r="F24" s="110"/>
      <c r="G24" s="110"/>
      <c r="H24" s="110"/>
      <c r="I24" s="109"/>
      <c r="J24" s="293"/>
      <c r="K24" s="110">
        <v>446714.28999999986</v>
      </c>
      <c r="L24" s="110">
        <v>52666.28</v>
      </c>
      <c r="M24" s="110"/>
      <c r="N24" s="110"/>
      <c r="O24" s="109"/>
      <c r="P24" s="293"/>
      <c r="Q24" s="110">
        <v>31870037.93</v>
      </c>
      <c r="R24" s="110">
        <v>2353162.41</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149279</v>
      </c>
      <c r="K26" s="288"/>
      <c r="L26" s="288"/>
      <c r="M26" s="288"/>
      <c r="N26" s="288"/>
      <c r="O26" s="292"/>
      <c r="P26" s="109">
        <v>2882045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16372475</v>
      </c>
      <c r="AT26" s="113"/>
      <c r="AU26" s="113"/>
      <c r="AV26" s="311"/>
      <c r="AW26" s="318"/>
    </row>
    <row r="27" spans="2:49" s="5" customFormat="1" ht="25.5" x14ac:dyDescent="0.2">
      <c r="B27" s="178" t="s">
        <v>85</v>
      </c>
      <c r="C27" s="133"/>
      <c r="D27" s="293"/>
      <c r="E27" s="110"/>
      <c r="F27" s="110"/>
      <c r="G27" s="110"/>
      <c r="H27" s="110"/>
      <c r="I27" s="109"/>
      <c r="J27" s="293"/>
      <c r="K27" s="110">
        <v>4264.7608204970193</v>
      </c>
      <c r="L27" s="110">
        <v>1268.5068000000001</v>
      </c>
      <c r="M27" s="110"/>
      <c r="N27" s="110"/>
      <c r="O27" s="109"/>
      <c r="P27" s="293"/>
      <c r="Q27" s="110">
        <v>416115.03057950363</v>
      </c>
      <c r="R27" s="110">
        <v>61637.5072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114</v>
      </c>
      <c r="K28" s="289"/>
      <c r="L28" s="289"/>
      <c r="M28" s="289"/>
      <c r="N28" s="289"/>
      <c r="O28" s="293"/>
      <c r="P28" s="109">
        <v>2415144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17839231</v>
      </c>
      <c r="AT28" s="113">
        <v>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656</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655.75</v>
      </c>
      <c r="L31" s="110"/>
      <c r="M31" s="110"/>
      <c r="N31" s="110"/>
      <c r="O31" s="109"/>
      <c r="P31" s="293"/>
      <c r="Q31" s="110">
        <v>-443.45000000000005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443</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1172156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43871</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-592909</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1086990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-502518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446</v>
      </c>
      <c r="K46" s="110"/>
      <c r="L46" s="110"/>
      <c r="M46" s="110"/>
      <c r="N46" s="110"/>
      <c r="O46" s="109"/>
      <c r="P46" s="109">
        <v>1517</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910081</v>
      </c>
      <c r="AT46" s="113"/>
      <c r="AU46" s="113"/>
      <c r="AV46" s="311"/>
      <c r="AW46" s="318"/>
    </row>
    <row r="47" spans="2:49" x14ac:dyDescent="0.2">
      <c r="B47" s="176" t="s">
        <v>117</v>
      </c>
      <c r="C47" s="133" t="s">
        <v>32</v>
      </c>
      <c r="D47" s="109"/>
      <c r="E47" s="289"/>
      <c r="F47" s="289"/>
      <c r="G47" s="289"/>
      <c r="H47" s="289"/>
      <c r="I47" s="293"/>
      <c r="J47" s="109">
        <v>446</v>
      </c>
      <c r="K47" s="289"/>
      <c r="L47" s="289"/>
      <c r="M47" s="289"/>
      <c r="N47" s="289"/>
      <c r="O47" s="293"/>
      <c r="P47" s="109">
        <v>1517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5715</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58674</v>
      </c>
      <c r="K49" s="110">
        <v>14448.8466886931</v>
      </c>
      <c r="L49" s="110"/>
      <c r="M49" s="110"/>
      <c r="N49" s="110"/>
      <c r="O49" s="109"/>
      <c r="P49" s="109">
        <v>99089</v>
      </c>
      <c r="Q49" s="110">
        <v>606748.36331130692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1178388</v>
      </c>
      <c r="AT49" s="113"/>
      <c r="AU49" s="113"/>
      <c r="AV49" s="311"/>
      <c r="AW49" s="318"/>
    </row>
    <row r="50" spans="2:49" x14ac:dyDescent="0.2">
      <c r="B50" s="176" t="s">
        <v>119</v>
      </c>
      <c r="C50" s="133" t="s">
        <v>34</v>
      </c>
      <c r="D50" s="109"/>
      <c r="E50" s="289"/>
      <c r="F50" s="289"/>
      <c r="G50" s="289"/>
      <c r="H50" s="289"/>
      <c r="I50" s="293"/>
      <c r="J50" s="109">
        <v>71356</v>
      </c>
      <c r="K50" s="289"/>
      <c r="L50" s="289"/>
      <c r="M50" s="289"/>
      <c r="N50" s="289"/>
      <c r="O50" s="293"/>
      <c r="P50" s="109">
        <v>62118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745691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5066</v>
      </c>
      <c r="L53" s="110">
        <v>8093</v>
      </c>
      <c r="M53" s="110"/>
      <c r="N53" s="110"/>
      <c r="O53" s="109"/>
      <c r="P53" s="109"/>
      <c r="Q53" s="110">
        <v>4089</v>
      </c>
      <c r="R53" s="110">
        <v>-286879</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356206</v>
      </c>
      <c r="K54" s="115">
        <f>K24+K27+K31+K35-K36+K39+K42+K45+K46-K49+K51+K52+K53</f>
        <v>442251.95413180377</v>
      </c>
      <c r="L54" s="115">
        <f>L24+L27+L31+L35-L36+L39+L42+L45+L46-L49+L51+L52+L53</f>
        <v>62027.786800000002</v>
      </c>
      <c r="M54" s="115">
        <f>M24+M27+M31+M35-M36+M39+M42+M45+M46-M49+M51+M52+M53</f>
        <v>0</v>
      </c>
      <c r="N54" s="115">
        <f>N24+N27+N31+N35-N36+N39+N42+N45+N46-N49+N51+N52+N53</f>
        <v>0</v>
      </c>
      <c r="O54" s="114">
        <f>O24+O27+O31+O35-O36+O39+O42+O45+O46-O49+O51+O52+O53</f>
        <v>0</v>
      </c>
      <c r="P54" s="114">
        <f>P23+P26-P28+P30-P32+P34-P36+P38+P41-P43+P45+P46-P47-P49+P50+P51+P52+P53</f>
        <v>29900542</v>
      </c>
      <c r="Q54" s="115">
        <f>Q24+Q27+Q31+Q35-Q36+Q39+Q42+Q45+Q46-Q49+Q51+Q52+Q53</f>
        <v>31683050.147268198</v>
      </c>
      <c r="R54" s="115">
        <f>R24+R27+R31+R35-R36+R39+R42+R45+R46-R49+R51+R52+R53</f>
        <v>2127920.9172</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148788514</v>
      </c>
      <c r="AT54" s="116">
        <f>AT23+AT26-AT28+AT30-AT32+AT34-AT36+AT38+AT41-AT43+AT45+AT46-AT47-AT49+AT50+AT51+AT52+AT53</f>
        <v>-27</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24</v>
      </c>
      <c r="K55" s="115">
        <f t="shared" si="0"/>
        <v>24</v>
      </c>
      <c r="L55" s="115">
        <f t="shared" si="0"/>
        <v>0</v>
      </c>
      <c r="M55" s="115">
        <f t="shared" si="0"/>
        <v>0</v>
      </c>
      <c r="N55" s="115">
        <f t="shared" si="0"/>
        <v>0</v>
      </c>
      <c r="O55" s="114">
        <f t="shared" si="0"/>
        <v>0</v>
      </c>
      <c r="P55" s="114">
        <f t="shared" si="0"/>
        <v>57280</v>
      </c>
      <c r="Q55" s="115">
        <f t="shared" si="0"/>
        <v>57343.95</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v>416</v>
      </c>
      <c r="K56" s="110">
        <v>418.83</v>
      </c>
      <c r="L56" s="110"/>
      <c r="M56" s="110"/>
      <c r="N56" s="110"/>
      <c r="O56" s="109"/>
      <c r="P56" s="109">
        <v>57280</v>
      </c>
      <c r="Q56" s="110">
        <v>57343.95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24</v>
      </c>
      <c r="K57" s="110">
        <v>24</v>
      </c>
      <c r="L57" s="110"/>
      <c r="M57" s="110"/>
      <c r="N57" s="110"/>
      <c r="O57" s="109"/>
      <c r="P57" s="109">
        <v>66983</v>
      </c>
      <c r="Q57" s="110">
        <v>67143.240000000005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1105459</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389411.82999999996</v>
      </c>
      <c r="I5" s="118">
        <v>329908.40852575295</v>
      </c>
      <c r="J5" s="346"/>
      <c r="K5" s="346"/>
      <c r="L5" s="312"/>
      <c r="M5" s="117">
        <v>31129468.859999999</v>
      </c>
      <c r="N5" s="118">
        <v>29769546.723174252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633992.43373805354</v>
      </c>
      <c r="I6" s="110">
        <v>328363.75852575293</v>
      </c>
      <c r="J6" s="115">
        <f>SUM('Pt 1 Summary of Data'!K$12,'Pt 1 Summary of Data'!K$22)+SUM('Pt 1 Summary of Data'!M$12,'Pt 1 Summary of Data'!M$22)-SUM('Pt 1 Summary of Data'!N$12,'Pt 1 Summary of Data'!N$22)</f>
        <v>442275.95413180377</v>
      </c>
      <c r="K6" s="115">
        <f>SUM(H6:J6)</f>
        <v>1404632.1463956102</v>
      </c>
      <c r="L6" s="116">
        <f>SUM('Pt 1 Summary of Data'!O$12,'Pt 1 Summary of Data'!O$22)</f>
        <v>0</v>
      </c>
      <c r="M6" s="109">
        <v>31059432.996261947</v>
      </c>
      <c r="N6" s="110">
        <v>29254084.528074253</v>
      </c>
      <c r="O6" s="115">
        <f>SUM('Pt 1 Summary of Data'!Q$12,'Pt 1 Summary of Data'!Q$22)+SUM('Pt 1 Summary of Data'!S$12,'Pt 1 Summary of Data'!S$22)-SUM('Pt 1 Summary of Data'!T$12,'Pt 1 Summary of Data'!T$22)</f>
        <v>31740394.097268198</v>
      </c>
      <c r="P6" s="115">
        <f>SUM(M6:O6)</f>
        <v>92053911.621604398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13426.91</v>
      </c>
      <c r="I7" s="110">
        <v>10687.31</v>
      </c>
      <c r="J7" s="115">
        <f>SUM('Pt 1 Summary of Data'!K$37:K$41)+SUM('Pt 1 Summary of Data'!M$37:M$41)-SUM('Pt 1 Summary of Data'!N$37:N$41)+MAX(0,MIN('Pt 1 Summary of Data'!K$42+'Pt 1 Summary of Data'!M$42-'Pt 1 Summary of Data'!N$42,0.3%*('Pt 1 Summary of Data'!K$5+'Pt 1 Summary of Data'!M$5-'Pt 1 Summary of Data'!N$5-SUM(J$10:J$11))))</f>
        <v>16245.84</v>
      </c>
      <c r="K7" s="115">
        <f>SUM(H7:J7)</f>
        <v>40360.06</v>
      </c>
      <c r="L7" s="116">
        <f>SUM('Pt 1 Summary of Data'!O$37:O$41)+MAX(0,MIN('Pt 1 Summary of Data'!O$42,0.3%*('Pt 1 Summary of Data'!O$5-L$10)))</f>
        <v>0</v>
      </c>
      <c r="M7" s="109">
        <v>466964.44</v>
      </c>
      <c r="N7" s="110">
        <v>472428.40000000014</v>
      </c>
      <c r="O7" s="115">
        <f>SUM('Pt 1 Summary of Data'!Q$37:Q$41)+SUM('Pt 1 Summary of Data'!S$37:S$41)-SUM('Pt 1 Summary of Data'!T$37:T$41)+MAX(0,MIN('Pt 1 Summary of Data'!Q$42+'Pt 1 Summary of Data'!S$42-'Pt 1 Summary of Data'!T$42,0.3%*('Pt 1 Summary of Data'!Q$5+'Pt 1 Summary of Data'!S$5-'Pt 1 Summary of Data'!T$5)))</f>
        <v>657150.54999999993</v>
      </c>
      <c r="P7" s="115">
        <f>SUM(M7:O7)</f>
        <v>1596543.3900000001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-125193.09</v>
      </c>
      <c r="K10" s="115">
        <f>SUM(H10:J10)</f>
        <v>-125193.09</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647419.34373805358</v>
      </c>
      <c r="I12" s="115">
        <f>SUM(I$6:I$7)+IF(AND(OR('Company Information'!$C$12="District of Columbia",'Company Information'!$C$12="Massachusetts",'Company Information'!$C$12="Vermont"),SUM($H$6:$K$11,$H$15:$K$16,$H$37:$I$37)&lt;&gt;0),SUM(D$6:D$7),0)</f>
        <v>339051.06852575293</v>
      </c>
      <c r="J12" s="115">
        <f>SUM(J$6:J$7)-SUM(J$10:J$11)+IF(AND(OR('Company Information'!$C$12="District of Columbia",'Company Information'!$C$12="Massachusetts",'Company Information'!$C$12="Vermont"),SUM($H$6:$K$11,$H$15:$K$16,$H$37:$I$37)&lt;&gt;0),SUM(E$6:E$7)-SUM(E$8:E$11),0)</f>
        <v>583714.88413180376</v>
      </c>
      <c r="K12" s="115">
        <f>IFERROR(SUM(H$12:J$12)+H$17*MAX(0,J$49-H$49)+I$17*MAX(0,J$49-I$49),0)</f>
        <v>1570185.2963956101</v>
      </c>
      <c r="L12" s="311"/>
      <c r="M12" s="114">
        <f>SUM(M$6:M$7)</f>
        <v>31526397.436261948</v>
      </c>
      <c r="N12" s="115">
        <f>SUM(N$6:N$7)</f>
        <v>29726512.928074252</v>
      </c>
      <c r="O12" s="115">
        <f>SUM(O$6:O$7)</f>
        <v>32397544.647268198</v>
      </c>
      <c r="P12" s="115">
        <f>SUM(M$12:O$12)+M$17*MAX(0,O$49-M$49)+N$17*MAX(0,O$49-N$49)</f>
        <v>93650455.011604398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535636.32999999996</v>
      </c>
      <c r="I15" s="118">
        <v>513319.93378581281</v>
      </c>
      <c r="J15" s="106">
        <f>SUM('Pt 1 Summary of Data'!K$5:K$7)+SUM('Pt 1 Summary of Data'!M$5:M$7)-SUM('Pt 1 Summary of Data'!N$5:N$7)-SUM(J$10:J$11)+I$55</f>
        <v>912019.02039409941</v>
      </c>
      <c r="K15" s="106">
        <f>SUM(H15:J15)</f>
        <v>1960975.2841799122</v>
      </c>
      <c r="L15" s="107">
        <f>SUM('Pt 1 Summary of Data'!O$5:O$7)-L$10</f>
        <v>0</v>
      </c>
      <c r="M15" s="117">
        <v>35253079.039999999</v>
      </c>
      <c r="N15" s="118">
        <v>35659513.228176743</v>
      </c>
      <c r="O15" s="106">
        <f>SUM('Pt 1 Summary of Data'!Q$5:Q$7)+SUM('Pt 1 Summary of Data'!S$5:S$7)-SUM('Pt 1 Summary of Data'!T$5:T$7)+N$55</f>
        <v>33267551.065378498</v>
      </c>
      <c r="P15" s="106">
        <f>SUM(M15:O15)</f>
        <v>104180143.33355524</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7391.6799999999994</v>
      </c>
      <c r="I16" s="110">
        <v>16281.95423409919</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164995.05301825065</v>
      </c>
      <c r="K16" s="115">
        <f>SUM(H16:J16)</f>
        <v>188668.68725234983</v>
      </c>
      <c r="L16" s="116">
        <f>SUM('Pt 1 Summary of Data'!O$25:O$28,'Pt 1 Summary of Data'!O$30,'Pt 1 Summary of Data'!O$34:O$35)+IF('Company Information'!$C$15="No",IF(MAX('Pt 1 Summary of Data'!O$31:O$32)=0,MIN('Pt 1 Summary of Data'!O$31:O$32),MAX('Pt 1 Summary of Data'!O$31:O$32)),SUM('Pt 1 Summary of Data'!O$31:O$32))</f>
        <v>0</v>
      </c>
      <c r="M16" s="109">
        <v>303285.67</v>
      </c>
      <c r="N16" s="110">
        <v>868208.35477207333</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-343460.10778826702</v>
      </c>
      <c r="P16" s="115">
        <f>SUM(M16:O16)</f>
        <v>828033.9169838063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528244.64999999991</v>
      </c>
      <c r="I17" s="115">
        <f>I$15-I$16+IF(AND(OR('Company Information'!$C$12="District of Columbia",'Company Information'!$C$12="Massachusetts",'Company Information'!$C$12="Vermont"),SUM($H$6:$K$11,$H$15:$K$16,$H$37:$I$37)&lt;&gt;0),D$15-D$16,0)</f>
        <v>497037.97955171362</v>
      </c>
      <c r="J17" s="115">
        <f>J$15-J$16+IF(AND(OR('Company Information'!$C$12="District of Columbia",'Company Information'!$C$12="Massachusetts",'Company Information'!$C$12="Vermont"),SUM($H$6:$K$11,$H$15:$K$16,$H$37:$I$37)&lt;&gt;0),E$15-E$16,0)</f>
        <v>747023.96737584879</v>
      </c>
      <c r="K17" s="115">
        <f>K$15-K$16+IF(AND(OR('Company Information'!$C$12="District of Columbia",'Company Information'!$C$12="Massachusetts",'Company Information'!$C$12="Vermont"),SUM($H$6:$K$11,$H$15:$K$16,$H$37:$I$37)&lt;&gt;0),F$15-F$16,0)</f>
        <v>1772306.5969275623</v>
      </c>
      <c r="L17" s="314"/>
      <c r="M17" s="114">
        <f>M$15-M$16</f>
        <v>34949793.369999997</v>
      </c>
      <c r="N17" s="115">
        <f>N$15-N$16</f>
        <v>34791304.873404667</v>
      </c>
      <c r="O17" s="115">
        <f>O$15-O$16</f>
        <v>33611011.173166767</v>
      </c>
      <c r="P17" s="115">
        <f>P$15-P$16</f>
        <v>103352109.41657142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140.16666666666666</v>
      </c>
      <c r="I37" s="122">
        <v>125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207.41666666666666</v>
      </c>
      <c r="K37" s="256">
        <f>SUM(H$37:J$37)+IF(AND(OR('Company Information'!$C$12="District of Columbia",'Company Information'!$C$12="Massachusetts",'Company Information'!$C$12="Vermont"),SUM($H$6:$K$11,$H$15:$K$16,$H$37:$I$37)&lt;&gt;0,SUM(H$37:I$37)&lt;&gt;SUM(C$37:D$37)),SUM(C$37:D$37),0)</f>
        <v>472.58333333333326</v>
      </c>
      <c r="L37" s="312"/>
      <c r="M37" s="121">
        <v>6815.583333333333</v>
      </c>
      <c r="N37" s="122">
        <v>6581</v>
      </c>
      <c r="O37" s="256">
        <f>('Pt 1 Summary of Data'!Q$59+'Pt 1 Summary of Data'!S$59-'Pt 1 Summary of Data'!T$59)/12</f>
        <v>6294.416666666667</v>
      </c>
      <c r="P37" s="256">
        <f>SUM(M$37:O$37)</f>
        <v>19691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1.9539333333333332E-2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1.9539333333333332E-2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f>IF(OR(M$37&lt;1000,M$17&lt;=0),"",M$12/M$17)</f>
        <v>0.90204817815384841</v>
      </c>
      <c r="N44" s="260">
        <f>IF(OR(N$37&lt;1000,N$17&lt;=0),"",N$12/N$17)</f>
        <v>0.85442362786449932</v>
      </c>
      <c r="O44" s="260">
        <f>IF(OR(O$37&lt;1000,O$17&lt;=0),"",O$12/O$17)</f>
        <v>0.96389675634432159</v>
      </c>
      <c r="P44" s="260">
        <f>IF(OR(P$37&lt;1000,P$17&lt;=0),"",P$12/P$17)</f>
        <v>0.90613007843058624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f ca="1">IF(P$44="","",P$41)</f>
        <v>1.9539333333333332E-2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f ca="1">IF(P$44="","",ROUND(P$44+MAX(0,P$46),3))</f>
        <v>0.92600000000000005</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2030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f ca="1">P$47</f>
        <v>0.92600000000000005</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f>IF(P$37&lt;1000,"",MAX(0,O$15-O$16))</f>
        <v>33611011.173166767</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2027.6815940000001</v>
      </c>
      <c r="J55" s="288"/>
      <c r="K55" s="288"/>
      <c r="L55" s="311"/>
      <c r="M55" s="292"/>
      <c r="N55" s="110">
        <v>15066.557995482182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64.233663914172666</v>
      </c>
      <c r="J56" s="288"/>
      <c r="K56" s="288"/>
      <c r="L56" s="311"/>
      <c r="M56" s="292"/>
      <c r="N56" s="110">
        <v>366.66010693833027</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121</v>
      </c>
      <c r="E4" s="149">
        <f>'Pt 1 Summary of Data'!$Q$56+'Pt 1 Summary of Data'!$S$56-'Pt 1 Summary of Data'!$T$56</f>
        <v>3378</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