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6" i="10" s="1"/>
  <c r="W45" i="10"/>
  <c r="V45" i="10"/>
  <c r="U45" i="10"/>
  <c r="T45" i="10"/>
  <c r="T47" i="10" s="1"/>
  <c r="T50" i="10" s="1"/>
  <c r="S45" i="10"/>
  <c r="R45" i="10"/>
  <c r="Q45" i="10"/>
  <c r="P44" i="10"/>
  <c r="O44" i="10"/>
  <c r="N44" i="10"/>
  <c r="M44" i="10"/>
  <c r="AB41" i="10"/>
  <c r="X41" i="10"/>
  <c r="T41" i="10"/>
  <c r="P41" i="10"/>
  <c r="AB40" i="10"/>
  <c r="X40" i="10"/>
  <c r="T40" i="10"/>
  <c r="P40" i="10"/>
  <c r="K40" i="10"/>
  <c r="F40" i="10"/>
  <c r="AB38"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T13" i="10"/>
  <c r="S13" i="10"/>
  <c r="R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Y55" i="18"/>
  <c r="Y22" i="4" s="1"/>
  <c r="X55" i="18"/>
  <c r="X22" i="4" s="1"/>
  <c r="W55" i="18"/>
  <c r="V55" i="18"/>
  <c r="U55" i="18"/>
  <c r="U22" i="4" s="1"/>
  <c r="T55" i="18"/>
  <c r="S55" i="18"/>
  <c r="S22" i="4" s="1"/>
  <c r="R55" i="18"/>
  <c r="Q55" i="18"/>
  <c r="P55" i="18"/>
  <c r="O55" i="18"/>
  <c r="O22" i="4" s="1"/>
  <c r="N55" i="18"/>
  <c r="M55" i="18"/>
  <c r="L55" i="18"/>
  <c r="L22" i="4" s="1"/>
  <c r="K55" i="18"/>
  <c r="K22" i="4" s="1"/>
  <c r="J55" i="18"/>
  <c r="J22" i="4" s="1"/>
  <c r="I55" i="18"/>
  <c r="I22" i="4" s="1"/>
  <c r="H55" i="18"/>
  <c r="H22" i="4" s="1"/>
  <c r="G55" i="18"/>
  <c r="G22" i="4" s="1"/>
  <c r="F55" i="18"/>
  <c r="E55" i="18"/>
  <c r="E22" i="4" s="1"/>
  <c r="D55" i="18"/>
  <c r="AU54" i="18"/>
  <c r="AT54" i="18"/>
  <c r="AS54" i="18"/>
  <c r="AC54" i="18"/>
  <c r="AB54" i="18"/>
  <c r="AB12" i="4" s="1"/>
  <c r="AA54" i="18"/>
  <c r="Z54" i="18"/>
  <c r="Y54" i="18"/>
  <c r="X54" i="18"/>
  <c r="W54" i="18"/>
  <c r="V54" i="18"/>
  <c r="V12" i="4" s="1"/>
  <c r="U54" i="18"/>
  <c r="U12" i="4" s="1"/>
  <c r="T54" i="18"/>
  <c r="T12" i="4" s="1"/>
  <c r="S54" i="18"/>
  <c r="R54" i="18"/>
  <c r="R12" i="4" s="1"/>
  <c r="Q54" i="18"/>
  <c r="Q12" i="4" s="1"/>
  <c r="P54" i="18"/>
  <c r="O54" i="18"/>
  <c r="N54" i="18"/>
  <c r="N12" i="4" s="1"/>
  <c r="M54" i="18"/>
  <c r="L54" i="18"/>
  <c r="K54" i="18"/>
  <c r="K12" i="4" s="1"/>
  <c r="J54" i="18"/>
  <c r="I54" i="18"/>
  <c r="H54" i="18"/>
  <c r="G54" i="18"/>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Z22" i="4"/>
  <c r="W22" i="4"/>
  <c r="V22" i="4"/>
  <c r="T22" i="4"/>
  <c r="R22" i="4"/>
  <c r="Q22" i="4"/>
  <c r="P22" i="4"/>
  <c r="N22" i="4"/>
  <c r="M22" i="4"/>
  <c r="F22" i="4"/>
  <c r="D22" i="4"/>
  <c r="AU12" i="4"/>
  <c r="AT12" i="4"/>
  <c r="AS12" i="4"/>
  <c r="AC12" i="4"/>
  <c r="AA12" i="4"/>
  <c r="Z12" i="4"/>
  <c r="Y12" i="4"/>
  <c r="X12" i="4"/>
  <c r="W12" i="4"/>
  <c r="S12" i="4"/>
  <c r="P12" i="4"/>
  <c r="O12" i="4"/>
  <c r="M12" i="4"/>
  <c r="L12" i="4"/>
  <c r="J12" i="4"/>
  <c r="I12" i="4"/>
  <c r="H12" i="4"/>
  <c r="G12" i="4"/>
  <c r="F12" i="4"/>
  <c r="AU5" i="4"/>
  <c r="AT5" i="4"/>
  <c r="AS5" i="4"/>
  <c r="AC5" i="4"/>
  <c r="AB5" i="4"/>
  <c r="AA5" i="4"/>
  <c r="Z5" i="4"/>
  <c r="Y5" i="4"/>
  <c r="X5" i="4"/>
  <c r="W5" i="4"/>
  <c r="V5" i="4"/>
  <c r="U5" i="4"/>
  <c r="T5" i="4"/>
  <c r="S5" i="4"/>
  <c r="R5" i="4"/>
  <c r="Q5" i="4"/>
  <c r="P5" i="4"/>
  <c r="O5" i="4"/>
  <c r="N5" i="4"/>
  <c r="M5" i="4"/>
  <c r="J15" i="10" s="1"/>
  <c r="L5" i="4"/>
  <c r="K5" i="4"/>
  <c r="J7" i="10" s="1"/>
  <c r="J5" i="4"/>
  <c r="I5" i="4"/>
  <c r="G7" i="10" s="1"/>
  <c r="H5" i="4"/>
  <c r="G5" i="4"/>
  <c r="F5" i="4"/>
  <c r="E5" i="4"/>
  <c r="E15" i="10" s="1"/>
  <c r="D5" i="4"/>
  <c r="F15" i="10" l="1"/>
  <c r="K15" i="10"/>
  <c r="G19" i="10"/>
  <c r="G21" i="10" s="1"/>
  <c r="K7" i="10"/>
  <c r="I17" i="10" s="1"/>
  <c r="J37" i="10"/>
  <c r="G15" i="10"/>
  <c r="X38" i="10"/>
  <c r="X47" i="10"/>
  <c r="X50" i="10" s="1"/>
  <c r="T46" i="10"/>
  <c r="L23" i="10"/>
  <c r="L27" i="10" s="1"/>
  <c r="L31" i="10" s="1"/>
  <c r="L32" i="10" s="1"/>
  <c r="L33" i="10" s="1"/>
  <c r="U13" i="10"/>
  <c r="H12" i="10"/>
  <c r="W13" i="10"/>
  <c r="X13" i="10"/>
  <c r="E7" i="10"/>
  <c r="K37" i="10" l="1"/>
  <c r="G25" i="10"/>
  <c r="G28" i="10"/>
  <c r="J12" i="10"/>
  <c r="G20" i="10"/>
  <c r="G24" i="10" s="1"/>
  <c r="G23" i="10" s="1"/>
  <c r="G27" i="10" s="1"/>
  <c r="G31" i="10" s="1"/>
  <c r="G32" i="10" s="1"/>
  <c r="G33" i="10" s="1"/>
  <c r="K17" i="10"/>
  <c r="I12" i="10"/>
  <c r="I44" i="10" s="1"/>
  <c r="J17" i="10"/>
  <c r="J44" i="10" s="1"/>
  <c r="F7" i="10"/>
  <c r="E12" i="10" s="1"/>
  <c r="E37" i="10"/>
  <c r="C17" i="10"/>
  <c r="L26" i="10"/>
  <c r="L30" i="10" s="1"/>
  <c r="H17" i="10"/>
  <c r="G29" i="10"/>
  <c r="G26" i="10"/>
  <c r="G30" i="10" s="1"/>
  <c r="F37" i="10" l="1"/>
  <c r="K38" i="10"/>
  <c r="K41" i="10"/>
  <c r="K51" i="10"/>
  <c r="D12" i="10"/>
  <c r="H44" i="10"/>
  <c r="K12" i="10"/>
  <c r="K44" i="10" s="1"/>
  <c r="F17" i="10"/>
  <c r="C12" i="10"/>
  <c r="C44" i="10" s="1"/>
  <c r="D17" i="10"/>
  <c r="E17" i="10"/>
  <c r="E44" i="10" s="1"/>
  <c r="K46" i="10" l="1"/>
  <c r="K47" i="10"/>
  <c r="K50" i="10" s="1"/>
  <c r="K52" i="10" s="1"/>
  <c r="D11" i="16" s="1"/>
  <c r="F51" i="10"/>
  <c r="D44" i="10"/>
  <c r="F38" i="10" s="1"/>
  <c r="F41" i="10" s="1"/>
  <c r="F46" i="10" s="1"/>
  <c r="F47" i="10" s="1"/>
  <c r="F50" i="10" s="1"/>
  <c r="F52" i="10" s="1"/>
  <c r="C11" i="16" s="1"/>
  <c r="F12" i="10"/>
  <c r="F44" i="10" s="1"/>
</calcChain>
</file>

<file path=xl/sharedStrings.xml><?xml version="1.0" encoding="utf-8"?>
<sst xmlns="http://schemas.openxmlformats.org/spreadsheetml/2006/main" count="574" uniqueCount="512">
  <si>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</si>
  <si>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</si>
  <si>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</si>
  <si>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</si>
  <si>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</si>
  <si>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</si>
  <si>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</si>
  <si>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</si>
  <si>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</si>
  <si>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</si>
  <si>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</si>
  <si>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</si>
  <si>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</si>
  <si>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</si>
  <si>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</si>
  <si>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</si>
  <si>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</si>
  <si>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</si>
  <si>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</si>
  <si>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</si>
  <si>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</si>
  <si>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</si>
  <si>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</si>
  <si>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</si>
  <si>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</si>
  <si>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</si>
  <si>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</si>
  <si>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</si>
  <si>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</si>
  <si>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</si>
  <si>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</si>
  <si>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</si>
  <si>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</si>
  <si>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</si>
  <si>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</si>
  <si>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</si>
  <si>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</si>
  <si>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</si>
  <si>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</si>
  <si>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</si>
  <si>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</si>
  <si>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</si>
  <si>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</si>
  <si>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</si>
  <si>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</si>
  <si>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</si>
  <si>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</si>
  <si>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</si>
  <si>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</si>
  <si>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</si>
  <si>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</si>
  <si>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</si>
  <si>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</si>
  <si>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</si>
  <si>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</si>
  <si>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</si>
  <si>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</si>
  <si>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</si>
  <si>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</si>
  <si>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</si>
  <si>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</si>
  <si>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</si>
  <si>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</si>
  <si>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</si>
  <si>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</si>
  <si>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</si>
  <si>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</si>
  <si>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</si>
  <si>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</si>
  <si>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</si>
  <si>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</si>
  <si>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</si>
  <si>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</si>
  <si>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</si>
  <si>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</si>
  <si>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</si>
  <si>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</si>
  <si>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</si>
  <si>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</si>
  <si>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</si>
  <si>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</si>
  <si>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</si>
  <si>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</si>
  <si>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</si>
  <si>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</si>
  <si>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</si>
  <si>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</si>
  <si>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</si>
  <si>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</si>
  <si>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</si>
  <si>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</si>
  <si>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</si>
  <si>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</si>
  <si>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</si>
  <si>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</si>
  <si>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</si>
  <si>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</si>
  <si>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</si>
  <si>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</si>
  <si>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</si>
  <si>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</si>
  <si>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</si>
  <si>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</si>
  <si>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</si>
  <si>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</si>
  <si>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</si>
  <si>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</si>
  <si>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</si>
  <si>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</si>
  <si>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</si>
  <si>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</si>
  <si>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</si>
  <si>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</si>
  <si>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</si>
  <si>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</si>
  <si>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</si>
  <si>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</si>
  <si>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</si>
  <si>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</si>
  <si>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</si>
  <si>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</si>
  <si>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</si>
  <si>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</si>
  <si>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</si>
  <si>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</si>
  <si>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</si>
  <si>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</si>
  <si>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</si>
  <si>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</si>
  <si>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</si>
  <si>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</si>
  <si>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</si>
  <si>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</si>
  <si>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</si>
  <si>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</si>
  <si>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</si>
  <si>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</si>
  <si>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</si>
  <si>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</si>
  <si>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</si>
  <si>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</si>
  <si>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</si>
  <si>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</si>
  <si>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</si>
  <si>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</si>
  <si>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</si>
  <si>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</si>
  <si>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</si>
  <si>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</si>
  <si>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</si>
  <si>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</si>
  <si>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</si>
  <si>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</si>
  <si>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</si>
  <si>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</si>
  <si>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</si>
  <si>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</si>
  <si>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</si>
  <si>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</si>
  <si>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</si>
  <si>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</si>
  <si>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</si>
  <si>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</si>
  <si>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</si>
  <si>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</si>
  <si>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</si>
  <si>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</si>
  <si>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</si>
  <si>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</si>
  <si>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</si>
  <si>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</si>
  <si>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</si>
  <si>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</si>
  <si>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</si>
  <si>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</si>
  <si>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</si>
  <si>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</si>
  <si>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</si>
  <si>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</si>
  <si>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</si>
  <si>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</si>
  <si>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</si>
  <si>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</si>
  <si>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</si>
  <si>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</si>
  <si>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</si>
  <si>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</si>
  <si>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</si>
  <si>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</si>
  <si>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</si>
  <si>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</si>
  <si>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</si>
  <si>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</si>
  <si>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</si>
  <si>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</si>
  <si>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</si>
  <si>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</si>
  <si>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</si>
  <si>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</si>
  <si>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</si>
  <si>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</si>
  <si>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</si>
  <si>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</si>
  <si>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</si>
  <si>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</si>
  <si>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</si>
  <si>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</si>
  <si>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</si>
  <si>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</si>
  <si>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</si>
  <si>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</si>
  <si>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</si>
  <si>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</si>
  <si>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</si>
  <si>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</si>
  <si>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</si>
  <si>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</si>
  <si>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</si>
  <si>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</si>
  <si>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</si>
  <si>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</si>
  <si>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</si>
  <si>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</si>
  <si>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</si>
  <si>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</si>
  <si>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</si>
  <si>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</si>
  <si>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</si>
  <si>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</si>
  <si>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</si>
  <si>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</si>
  <si>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</si>
  <si>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</si>
  <si>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</si>
  <si>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</si>
  <si>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</si>
  <si>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</si>
  <si>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</si>
  <si>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</si>
  <si>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</si>
  <si>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</si>
  <si>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</si>
  <si>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</si>
  <si>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</si>
  <si>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</si>
  <si>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</si>
  <si>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</si>
  <si>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</si>
  <si>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</si>
  <si>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</si>
  <si>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</si>
  <si>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</si>
  <si>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</si>
  <si>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</si>
  <si>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</si>
  <si>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</si>
  <si>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</si>
  <si>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</si>
  <si>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</si>
  <si>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</si>
  <si>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</si>
  <si>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</si>
  <si>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</si>
  <si>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</si>
  <si>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</si>
  <si>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</si>
  <si>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</si>
  <si>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</si>
  <si>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</si>
  <si>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</si>
  <si>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</si>
  <si>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</si>
  <si>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</si>
  <si>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</si>
  <si>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</si>
  <si>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</si>
  <si>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</si>
  <si>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</si>
  <si>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</si>
  <si>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</si>
  <si>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</si>
  <si>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</si>
  <si>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</si>
  <si>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</si>
  <si>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</si>
  <si>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</si>
  <si>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</si>
  <si>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</si>
  <si>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</si>
  <si>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</si>
  <si>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</si>
  <si>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</si>
  <si>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</si>
  <si>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</si>
  <si>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</si>
  <si>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</si>
  <si>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</si>
  <si>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</si>
  <si>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</si>
  <si>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</si>
  <si>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</si>
  <si>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</si>
  <si>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</si>
  <si>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</si>
  <si>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</si>
  <si>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</si>
  <si>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</si>
  <si>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</si>
  <si>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</si>
  <si>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</si>
  <si>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</si>
  <si>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</si>
  <si>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</si>
  <si>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</si>
  <si>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</si>
  <si>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</si>
  <si>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</si>
  <si>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</si>
  <si>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</si>
  <si>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</si>
  <si>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</si>
  <si>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</si>
  <si>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</si>
  <si>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</si>
  <si>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</si>
  <si>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</si>
  <si>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</si>
  <si>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</si>
  <si>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</si>
  <si>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</si>
  <si>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</si>
  <si>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</si>
  <si>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</si>
  <si>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</si>
  <si>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</si>
  <si>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</si>
  <si>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</si>
  <si>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</si>
  <si>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</si>
  <si>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</si>
  <si>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</si>
  <si>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</si>
  <si>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</si>
  <si>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</si>
  <si>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</si>
  <si>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</si>
  <si>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</si>
  <si>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</si>
  <si>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</si>
  <si>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</si>
  <si>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</si>
  <si>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</si>
  <si>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</si>
  <si>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</si>
  <si>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</si>
  <si>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</si>
  <si>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</si>
  <si>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</si>
  <si>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</si>
  <si>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</si>
  <si>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</si>
  <si>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</si>
  <si>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</si>
  <si>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</si>
  <si>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</si>
  <si>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</si>
  <si>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</si>
  <si>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</si>
  <si>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</si>
  <si>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</si>
  <si>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</si>
  <si>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</si>
  <si>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</si>
  <si>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</si>
  <si>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</si>
  <si>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</si>
  <si>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</si>
  <si>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</si>
  <si>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</si>
  <si>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</si>
  <si>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</si>
  <si>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</si>
  <si>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</si>
  <si>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</si>
  <si>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</si>
  <si>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</si>
  <si>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</si>
  <si>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</si>
  <si>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</si>
  <si>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</si>
  <si>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</si>
  <si>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</si>
  <si>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</si>
  <si>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</si>
  <si>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</si>
  <si>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</si>
  <si>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</si>
  <si>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</si>
  <si>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</si>
  <si>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</si>
  <si>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</si>
  <si>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</si>
  <si>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</si>
  <si>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</si>
  <si>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</si>
  <si>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</si>
  <si>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</si>
  <si>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</si>
  <si>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</si>
  <si>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</si>
  <si>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</si>
  <si>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</si>
  <si>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</si>
  <si>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</si>
  <si>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</si>
  <si>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</si>
  <si>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</si>
  <si>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</si>
  <si>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</si>
  <si>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</si>
  <si>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</si>
  <si>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</si>
  <si>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</si>
  <si>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</si>
  <si>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</si>
  <si>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</si>
  <si>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</si>
  <si>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</si>
  <si>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</si>
  <si>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</si>
  <si>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</si>
  <si>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</si>
  <si>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</si>
  <si>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</si>
  <si>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</si>
  <si>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</si>
  <si>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</si>
  <si>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</si>
  <si>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</si>
  <si>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</si>
  <si>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</si>
  <si>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</si>
  <si>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</si>
  <si>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</si>
  <si>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</si>
  <si>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</si>
  <si>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</si>
  <si>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</si>
  <si>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</si>
  <si>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</si>
  <si>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</si>
  <si>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</si>
  <si>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</si>
  <si>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</si>
  <si>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</si>
  <si>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</si>
  <si>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</si>
  <si>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</si>
  <si>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</si>
  <si>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</si>
  <si>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</si>
  <si>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</si>
  <si>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</si>
  <si>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</si>
  <si>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</si>
  <si>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</si>
  <si>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</si>
  <si>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</si>
  <si>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</si>
  <si>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</si>
  <si>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</si>
  <si>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</si>
  <si>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</si>
  <si>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</si>
  <si>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</si>
  <si>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</si>
  <si>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</si>
  <si>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</si>
  <si>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</si>
  <si>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</si>
  <si>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</si>
  <si>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</si>
  <si>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</si>
  <si>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</si>
  <si>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</si>
  <si>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</si>
  <si>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</si>
  <si>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</si>
  <si>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</si>
  <si>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</si>
  <si>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</si>
  <si>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</si>
  <si>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</si>
  <si>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</si>
  <si>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</si>
  <si>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</si>
  <si>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</si>
  <si>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</si>
  <si>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</si>
  <si>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</si>
  <si>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</si>
  <si>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</si>
  <si>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</si>
  <si>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15411</t>
  </si>
  <si>
    <t>215</t>
  </si>
  <si>
    <t>Humana Insurance Company</t>
  </si>
  <si>
    <t>Humana Health Plan of Ohio, Inc.</t>
  </si>
  <si>
    <t>Humana Employers Health Plan of Georgia, Inc.</t>
  </si>
  <si>
    <t>Humana Health Insurance Company of Florida, Inc.</t>
  </si>
  <si>
    <t>Humana Insurance Company of Kentucky</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</si>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</sst>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157</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9" activePane="bottomRight" state="frozen"/>
      <selection activeCell="B1" sqref="B1"/>
      <selection pane="topRight" activeCell="B1" sqref="B1"/>
      <selection pane="bottomLeft" activeCell="B1" sqref="B1"/>
      <selection pane="bottomRight" activeCell="AW61" sqref="AW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60506953</v>
      </c>
      <c r="E5" s="106">
        <f>SUM('Pt 2 Premium and Claims'!E$5,'Pt 2 Premium and Claims'!E$6,-'Pt 2 Premium and Claims'!E$7,-'Pt 2 Premium and Claims'!E$13,'Pt 2 Premium and Claims'!E$14:'Pt 2 Premium and Claims'!E$17)</f>
        <v>74222890.319899991</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37666100</v>
      </c>
      <c r="J5" s="105">
        <f>SUM('Pt 2 Premium and Claims'!J$5,'Pt 2 Premium and Claims'!J$6,-'Pt 2 Premium and Claims'!J$7,-'Pt 2 Premium and Claims'!J$13,'Pt 2 Premium and Claims'!J$14,'Pt 2 Premium and Claims'!J$16:'Pt 2 Premium and Claims'!J$17)</f>
        <v>176792082</v>
      </c>
      <c r="K5" s="106">
        <f>SUM('Pt 2 Premium and Claims'!K$5,'Pt 2 Premium and Claims'!K$6,-'Pt 2 Premium and Claims'!K$7,-'Pt 2 Premium and Claims'!K$13,'Pt 2 Premium and Claims'!K$14,'Pt 2 Premium and Claims'!K$16:'Pt 2 Premium and Claims'!K$17)</f>
        <v>170580377.59199038</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222882479</v>
      </c>
      <c r="Q5" s="106">
        <f>SUM('Pt 2 Premium and Claims'!Q$5,'Pt 2 Premium and Claims'!Q$6,-'Pt 2 Premium and Claims'!Q$7,-'Pt 2 Premium and Claims'!Q$13,'Pt 2 Premium and Claims'!Q$14)</f>
        <v>228896143.90125647</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636198468</v>
      </c>
      <c r="AT5" s="107">
        <f>SUM('Pt 2 Premium and Claims'!AT$5,'Pt 2 Premium and Claims'!AT$6,-'Pt 2 Premium and Claims'!AT$7,-'Pt 2 Premium and Claims'!AT$13,'Pt 2 Premium and Claims'!AT$14)</f>
        <v>819660</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-27163</v>
      </c>
      <c r="E7" s="110">
        <v>-27163</v>
      </c>
      <c r="F7" s="110"/>
      <c r="G7" s="110"/>
      <c r="H7" s="110"/>
      <c r="I7" s="109"/>
      <c r="J7" s="109">
        <v>-961239</v>
      </c>
      <c r="K7" s="110">
        <v>-961239</v>
      </c>
      <c r="L7" s="110"/>
      <c r="M7" s="110"/>
      <c r="N7" s="110"/>
      <c r="O7" s="109"/>
      <c r="P7" s="109">
        <v>-1222788</v>
      </c>
      <c r="Q7" s="110">
        <v>-1222788</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v>
      </c>
      <c r="AU7" s="113"/>
      <c r="AV7" s="311"/>
      <c r="AW7" s="318"/>
    </row>
    <row r="8" spans="1:49" ht="25.5" x14ac:dyDescent="0.2">
      <c r="B8" s="155" t="s">
        <v>225</v>
      </c>
      <c r="C8" s="62" t="s">
        <v>59</v>
      </c>
      <c r="D8" s="109">
        <v>-569070</v>
      </c>
      <c r="E8" s="289"/>
      <c r="F8" s="290"/>
      <c r="G8" s="290"/>
      <c r="H8" s="290"/>
      <c r="I8" s="293"/>
      <c r="J8" s="109">
        <v>-382097</v>
      </c>
      <c r="K8" s="289"/>
      <c r="L8" s="290"/>
      <c r="M8" s="290"/>
      <c r="N8" s="290"/>
      <c r="O8" s="293"/>
      <c r="P8" s="109">
        <v>-322873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-467359730</v>
      </c>
      <c r="AT8" s="113">
        <v>-707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59365590</v>
      </c>
      <c r="E12" s="106">
        <f>'Pt 2 Premium and Claims'!E$54</f>
        <v>64919042.082099997</v>
      </c>
      <c r="F12" s="106">
        <f>'Pt 2 Premium and Claims'!F$54</f>
        <v>0</v>
      </c>
      <c r="G12" s="106">
        <f>'Pt 2 Premium and Claims'!G$54</f>
        <v>0</v>
      </c>
      <c r="H12" s="106">
        <f>'Pt 2 Premium and Claims'!H$54</f>
        <v>0</v>
      </c>
      <c r="I12" s="105">
        <f>'Pt 2 Premium and Claims'!I$54</f>
        <v>44022158</v>
      </c>
      <c r="J12" s="105">
        <f>'Pt 2 Premium and Claims'!J$54</f>
        <v>146652012</v>
      </c>
      <c r="K12" s="106">
        <f>'Pt 2 Premium and Claims'!K$54</f>
        <v>144046341.69649228</v>
      </c>
      <c r="L12" s="106">
        <f>'Pt 2 Premium and Claims'!L$54</f>
        <v>0</v>
      </c>
      <c r="M12" s="106">
        <f>'Pt 2 Premium and Claims'!M$54</f>
        <v>0</v>
      </c>
      <c r="N12" s="106">
        <f>'Pt 2 Premium and Claims'!N$54</f>
        <v>0</v>
      </c>
      <c r="O12" s="105">
        <f>'Pt 2 Premium and Claims'!O$54</f>
        <v>0</v>
      </c>
      <c r="P12" s="105">
        <f>'Pt 2 Premium and Claims'!P$54</f>
        <v>165375796</v>
      </c>
      <c r="Q12" s="106">
        <f>'Pt 2 Premium and Claims'!Q$54</f>
        <v>175915788.24020025</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565814899</v>
      </c>
      <c r="AT12" s="107">
        <f>'Pt 2 Premium and Claims'!AT$54</f>
        <v>356401</v>
      </c>
      <c r="AU12" s="107">
        <f>'Pt 2 Premium and Claims'!AU$54</f>
        <v>0</v>
      </c>
      <c r="AV12" s="312"/>
      <c r="AW12" s="317"/>
    </row>
    <row r="13" spans="1:49" ht="25.5" x14ac:dyDescent="0.2">
      <c r="B13" s="155" t="s">
        <v>230</v>
      </c>
      <c r="C13" s="62" t="s">
        <v>37</v>
      </c>
      <c r="D13" s="109">
        <v>7087814</v>
      </c>
      <c r="E13" s="110">
        <v>7350752.919999999</v>
      </c>
      <c r="F13" s="110"/>
      <c r="G13" s="289"/>
      <c r="H13" s="290"/>
      <c r="I13" s="109">
        <v>4370141</v>
      </c>
      <c r="J13" s="109">
        <v>31682892</v>
      </c>
      <c r="K13" s="110">
        <v>30550171.400918368</v>
      </c>
      <c r="L13" s="110"/>
      <c r="M13" s="289"/>
      <c r="N13" s="290"/>
      <c r="O13" s="109"/>
      <c r="P13" s="109">
        <v>34893038</v>
      </c>
      <c r="Q13" s="110">
        <v>36004542.799081631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88692668</v>
      </c>
      <c r="AT13" s="113">
        <v>1304</v>
      </c>
      <c r="AU13" s="113"/>
      <c r="AV13" s="311"/>
      <c r="AW13" s="318"/>
    </row>
    <row r="14" spans="1:49" ht="25.5" x14ac:dyDescent="0.2">
      <c r="B14" s="155" t="s">
        <v>231</v>
      </c>
      <c r="C14" s="62" t="s">
        <v>6</v>
      </c>
      <c r="D14" s="109">
        <v>473278</v>
      </c>
      <c r="E14" s="110">
        <v>478062.22999999992</v>
      </c>
      <c r="F14" s="110"/>
      <c r="G14" s="288"/>
      <c r="H14" s="291"/>
      <c r="I14" s="109">
        <v>224438</v>
      </c>
      <c r="J14" s="109">
        <v>3517368</v>
      </c>
      <c r="K14" s="110">
        <v>3306262.9876463083</v>
      </c>
      <c r="L14" s="110"/>
      <c r="M14" s="288"/>
      <c r="N14" s="291"/>
      <c r="O14" s="109"/>
      <c r="P14" s="109">
        <v>3554005</v>
      </c>
      <c r="Q14" s="110">
        <v>3638912.38235369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4378603</v>
      </c>
      <c r="AT14" s="113">
        <v>916</v>
      </c>
      <c r="AU14" s="113"/>
      <c r="AV14" s="311"/>
      <c r="AW14" s="318"/>
    </row>
    <row r="15" spans="1:49" ht="38.25" x14ac:dyDescent="0.2">
      <c r="B15" s="155" t="s">
        <v>232</v>
      </c>
      <c r="C15" s="62" t="s">
        <v>7</v>
      </c>
      <c r="D15" s="109">
        <v>1221</v>
      </c>
      <c r="E15" s="110">
        <v>1221</v>
      </c>
      <c r="F15" s="110"/>
      <c r="G15" s="288"/>
      <c r="H15" s="294"/>
      <c r="I15" s="109">
        <v>754</v>
      </c>
      <c r="J15" s="109">
        <v>3404</v>
      </c>
      <c r="K15" s="110">
        <v>3404</v>
      </c>
      <c r="L15" s="110"/>
      <c r="M15" s="288"/>
      <c r="N15" s="294"/>
      <c r="O15" s="109"/>
      <c r="P15" s="109">
        <v>3266</v>
      </c>
      <c r="Q15" s="110">
        <v>3266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13265</v>
      </c>
      <c r="AT15" s="113">
        <v>3</v>
      </c>
      <c r="AU15" s="113"/>
      <c r="AV15" s="311"/>
      <c r="AW15" s="318"/>
    </row>
    <row r="16" spans="1:49" ht="25.5" x14ac:dyDescent="0.2">
      <c r="B16" s="155" t="s">
        <v>233</v>
      </c>
      <c r="C16" s="62" t="s">
        <v>61</v>
      </c>
      <c r="D16" s="109">
        <v>-10456959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-414446375</v>
      </c>
      <c r="AT16" s="113"/>
      <c r="AU16" s="113"/>
      <c r="AV16" s="311"/>
      <c r="AW16" s="318"/>
    </row>
    <row r="17" spans="1:49" x14ac:dyDescent="0.2">
      <c r="B17" s="155" t="s">
        <v>234</v>
      </c>
      <c r="C17" s="62" t="s">
        <v>62</v>
      </c>
      <c r="D17" s="109">
        <v>966</v>
      </c>
      <c r="E17" s="288"/>
      <c r="F17" s="291"/>
      <c r="G17" s="291"/>
      <c r="H17" s="291"/>
      <c r="I17" s="292"/>
      <c r="J17" s="109">
        <v>1827944</v>
      </c>
      <c r="K17" s="288"/>
      <c r="L17" s="291"/>
      <c r="M17" s="291"/>
      <c r="N17" s="291"/>
      <c r="O17" s="292"/>
      <c r="P17" s="109">
        <v>512347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409885</v>
      </c>
      <c r="K18" s="288"/>
      <c r="L18" s="291"/>
      <c r="M18" s="291"/>
      <c r="N18" s="294"/>
      <c r="O18" s="292"/>
      <c r="P18" s="109">
        <v>766296</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2240208</v>
      </c>
      <c r="K19" s="288"/>
      <c r="L19" s="291"/>
      <c r="M19" s="291"/>
      <c r="N19" s="291"/>
      <c r="O19" s="292"/>
      <c r="P19" s="109">
        <v>1281125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2380</v>
      </c>
      <c r="K20" s="288"/>
      <c r="L20" s="291"/>
      <c r="M20" s="291"/>
      <c r="N20" s="291"/>
      <c r="O20" s="292"/>
      <c r="P20" s="109">
        <v>266</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92146</v>
      </c>
      <c r="E22" s="115">
        <f>'Pt 2 Premium and Claims'!E$55</f>
        <v>92146</v>
      </c>
      <c r="F22" s="115">
        <f>'Pt 2 Premium and Claims'!F$55</f>
        <v>0</v>
      </c>
      <c r="G22" s="115">
        <f>'Pt 2 Premium and Claims'!G$55</f>
        <v>0</v>
      </c>
      <c r="H22" s="115">
        <f>'Pt 2 Premium and Claims'!H$55</f>
        <v>0</v>
      </c>
      <c r="I22" s="114">
        <f>'Pt 2 Premium and Claims'!I$55</f>
        <v>3751</v>
      </c>
      <c r="J22" s="114">
        <f>'Pt 2 Premium and Claims'!J$55</f>
        <v>179243</v>
      </c>
      <c r="K22" s="115">
        <f>'Pt 2 Premium and Claims'!K$55</f>
        <v>179243</v>
      </c>
      <c r="L22" s="115">
        <f>'Pt 2 Premium and Claims'!L$55</f>
        <v>0</v>
      </c>
      <c r="M22" s="115">
        <f>'Pt 2 Premium and Claims'!M$55</f>
        <v>0</v>
      </c>
      <c r="N22" s="115">
        <f>'Pt 2 Premium and Claims'!N$55</f>
        <v>0</v>
      </c>
      <c r="O22" s="114">
        <f>'Pt 2 Premium and Claims'!O$55</f>
        <v>0</v>
      </c>
      <c r="P22" s="114">
        <f>'Pt 2 Premium and Claims'!P$55</f>
        <v>415875</v>
      </c>
      <c r="Q22" s="115">
        <f>'Pt 2 Premium and Claims'!Q$55</f>
        <v>415875</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-1160564.3049999999</v>
      </c>
      <c r="E25" s="110">
        <v>-1160564.3049999999</v>
      </c>
      <c r="F25" s="110"/>
      <c r="G25" s="110"/>
      <c r="H25" s="110"/>
      <c r="I25" s="109">
        <v>-1778291</v>
      </c>
      <c r="J25" s="109">
        <v>-2056330.058</v>
      </c>
      <c r="K25" s="110">
        <v>-2056330.058</v>
      </c>
      <c r="L25" s="110"/>
      <c r="M25" s="110"/>
      <c r="N25" s="110"/>
      <c r="O25" s="109"/>
      <c r="P25" s="109">
        <v>6709433.4630000005</v>
      </c>
      <c r="Q25" s="110">
        <v>6709433.4630000005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3497926.9730000002</v>
      </c>
      <c r="AT25" s="113">
        <v>145734.5773</v>
      </c>
      <c r="AU25" s="113"/>
      <c r="AV25" s="113"/>
      <c r="AW25" s="318"/>
    </row>
    <row r="26" spans="1:49" s="5" customFormat="1" x14ac:dyDescent="0.2">
      <c r="A26" s="35"/>
      <c r="B26" s="158" t="s">
        <v>243</v>
      </c>
      <c r="C26" s="62"/>
      <c r="D26" s="109"/>
      <c r="E26" s="110">
        <v>52128.46</v>
      </c>
      <c r="F26" s="110"/>
      <c r="G26" s="110"/>
      <c r="H26" s="110"/>
      <c r="I26" s="109">
        <v>18387</v>
      </c>
      <c r="J26" s="109"/>
      <c r="K26" s="110">
        <v>98494.249999999985</v>
      </c>
      <c r="L26" s="110"/>
      <c r="M26" s="110"/>
      <c r="N26" s="110"/>
      <c r="O26" s="109"/>
      <c r="P26" s="109"/>
      <c r="Q26" s="110">
        <v>104114.06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753871.92999999982</v>
      </c>
      <c r="E27" s="110">
        <v>753871.92999999982</v>
      </c>
      <c r="F27" s="110"/>
      <c r="G27" s="110"/>
      <c r="H27" s="110"/>
      <c r="I27" s="109">
        <v>365114</v>
      </c>
      <c r="J27" s="109">
        <v>2398577.1500000004</v>
      </c>
      <c r="K27" s="110">
        <v>2398577.1500000004</v>
      </c>
      <c r="L27" s="110"/>
      <c r="M27" s="110"/>
      <c r="N27" s="110"/>
      <c r="O27" s="109"/>
      <c r="P27" s="109">
        <v>2641895.71</v>
      </c>
      <c r="Q27" s="110">
        <v>2641895.71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1708767.7100000002</v>
      </c>
      <c r="AT27" s="113">
        <v>2453.25</v>
      </c>
      <c r="AU27" s="113"/>
      <c r="AV27" s="314"/>
      <c r="AW27" s="318"/>
    </row>
    <row r="28" spans="1:49" s="5" customFormat="1" x14ac:dyDescent="0.2">
      <c r="A28" s="35"/>
      <c r="B28" s="158" t="s">
        <v>245</v>
      </c>
      <c r="C28" s="62"/>
      <c r="D28" s="109">
        <v>1177950.3799999999</v>
      </c>
      <c r="E28" s="110">
        <v>249354.16999999998</v>
      </c>
      <c r="F28" s="110"/>
      <c r="G28" s="110"/>
      <c r="H28" s="110"/>
      <c r="I28" s="109">
        <v>84191</v>
      </c>
      <c r="J28" s="109">
        <v>2947849.16</v>
      </c>
      <c r="K28" s="110">
        <v>387412.95</v>
      </c>
      <c r="L28" s="110"/>
      <c r="M28" s="110"/>
      <c r="N28" s="110"/>
      <c r="O28" s="109"/>
      <c r="P28" s="109">
        <v>3410127.5300000003</v>
      </c>
      <c r="Q28" s="110">
        <v>438350.47000000009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30884.350000000006</v>
      </c>
      <c r="AT28" s="113">
        <v>14128.17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-78228.381740000012</v>
      </c>
      <c r="E30" s="110">
        <v>-34807.451740000019</v>
      </c>
      <c r="F30" s="110"/>
      <c r="G30" s="110"/>
      <c r="H30" s="110"/>
      <c r="I30" s="109">
        <v>-119617</v>
      </c>
      <c r="J30" s="109">
        <v>-138847.4039</v>
      </c>
      <c r="K30" s="110">
        <v>-66935.715300000011</v>
      </c>
      <c r="L30" s="110"/>
      <c r="M30" s="110"/>
      <c r="N30" s="110"/>
      <c r="O30" s="109"/>
      <c r="P30" s="109">
        <v>544099.22010000004</v>
      </c>
      <c r="Q30" s="110">
        <v>620726.79429999995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283736.74990000005</v>
      </c>
      <c r="AT30" s="113">
        <v>11318.210260000002</v>
      </c>
      <c r="AU30" s="113"/>
      <c r="AV30" s="113"/>
      <c r="AW30" s="318"/>
    </row>
    <row r="31" spans="1:49" x14ac:dyDescent="0.2">
      <c r="B31" s="158" t="s">
        <v>248</v>
      </c>
      <c r="C31" s="62"/>
      <c r="D31" s="109">
        <v>77241.08</v>
      </c>
      <c r="E31" s="110"/>
      <c r="F31" s="110"/>
      <c r="G31" s="110"/>
      <c r="H31" s="110"/>
      <c r="I31" s="109"/>
      <c r="J31" s="109">
        <v>9395.9714000000004</v>
      </c>
      <c r="K31" s="110">
        <v>9395.9714000000004</v>
      </c>
      <c r="L31" s="110"/>
      <c r="M31" s="110"/>
      <c r="N31" s="110"/>
      <c r="O31" s="109"/>
      <c r="P31" s="109">
        <v>14127.6358</v>
      </c>
      <c r="Q31" s="110">
        <v>14127.6358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1555174.9100000001</v>
      </c>
      <c r="F34" s="110"/>
      <c r="G34" s="110"/>
      <c r="H34" s="110"/>
      <c r="I34" s="109">
        <v>463443</v>
      </c>
      <c r="J34" s="109"/>
      <c r="K34" s="110">
        <v>2781797.14</v>
      </c>
      <c r="L34" s="110"/>
      <c r="M34" s="110"/>
      <c r="N34" s="110"/>
      <c r="O34" s="109"/>
      <c r="P34" s="109"/>
      <c r="Q34" s="110">
        <v>3246923.33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67592.34</v>
      </c>
      <c r="E35" s="110">
        <v>76317.51999999999</v>
      </c>
      <c r="F35" s="110"/>
      <c r="G35" s="110"/>
      <c r="H35" s="110"/>
      <c r="I35" s="109">
        <v>31772</v>
      </c>
      <c r="J35" s="109">
        <v>105853.97000000002</v>
      </c>
      <c r="K35" s="110">
        <v>120166.45000000001</v>
      </c>
      <c r="L35" s="110"/>
      <c r="M35" s="110"/>
      <c r="N35" s="110"/>
      <c r="O35" s="109"/>
      <c r="P35" s="109">
        <v>119269.3</v>
      </c>
      <c r="Q35" s="110">
        <v>119346.44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78120.88</v>
      </c>
      <c r="AT35" s="113">
        <v>114.45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223698</v>
      </c>
      <c r="E37" s="118">
        <v>223697.24999999997</v>
      </c>
      <c r="F37" s="118"/>
      <c r="G37" s="118"/>
      <c r="H37" s="118"/>
      <c r="I37" s="117">
        <v>70319</v>
      </c>
      <c r="J37" s="117">
        <v>749746</v>
      </c>
      <c r="K37" s="118">
        <v>749742.47</v>
      </c>
      <c r="L37" s="118"/>
      <c r="M37" s="118"/>
      <c r="N37" s="118"/>
      <c r="O37" s="117"/>
      <c r="P37" s="117">
        <v>839731</v>
      </c>
      <c r="Q37" s="118">
        <v>839728.12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1235392</v>
      </c>
      <c r="AT37" s="119">
        <v>597</v>
      </c>
      <c r="AU37" s="119"/>
      <c r="AV37" s="119"/>
      <c r="AW37" s="317"/>
    </row>
    <row r="38" spans="1:49" x14ac:dyDescent="0.2">
      <c r="B38" s="155" t="s">
        <v>255</v>
      </c>
      <c r="C38" s="62" t="s">
        <v>16</v>
      </c>
      <c r="D38" s="109">
        <v>49610</v>
      </c>
      <c r="E38" s="110">
        <v>49609.47</v>
      </c>
      <c r="F38" s="110"/>
      <c r="G38" s="110"/>
      <c r="H38" s="110"/>
      <c r="I38" s="109">
        <v>16428</v>
      </c>
      <c r="J38" s="109">
        <v>311669</v>
      </c>
      <c r="K38" s="110">
        <v>311667.39999999997</v>
      </c>
      <c r="L38" s="110"/>
      <c r="M38" s="110"/>
      <c r="N38" s="110"/>
      <c r="O38" s="109"/>
      <c r="P38" s="109">
        <v>328698</v>
      </c>
      <c r="Q38" s="110">
        <v>328695.51999999996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399791</v>
      </c>
      <c r="AT38" s="113"/>
      <c r="AU38" s="113"/>
      <c r="AV38" s="113"/>
      <c r="AW38" s="318"/>
    </row>
    <row r="39" spans="1:49" x14ac:dyDescent="0.2">
      <c r="B39" s="158" t="s">
        <v>256</v>
      </c>
      <c r="C39" s="62" t="s">
        <v>17</v>
      </c>
      <c r="D39" s="109">
        <v>98100</v>
      </c>
      <c r="E39" s="110">
        <v>98099.89</v>
      </c>
      <c r="F39" s="110"/>
      <c r="G39" s="110"/>
      <c r="H39" s="110"/>
      <c r="I39" s="109">
        <v>26559</v>
      </c>
      <c r="J39" s="109">
        <v>302569</v>
      </c>
      <c r="K39" s="110">
        <v>302568.05</v>
      </c>
      <c r="L39" s="110"/>
      <c r="M39" s="110"/>
      <c r="N39" s="110"/>
      <c r="O39" s="109"/>
      <c r="P39" s="109">
        <v>321383</v>
      </c>
      <c r="Q39" s="110">
        <v>321382.26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311680</v>
      </c>
      <c r="AT39" s="113">
        <v>564</v>
      </c>
      <c r="AU39" s="113"/>
      <c r="AV39" s="113"/>
      <c r="AW39" s="318"/>
    </row>
    <row r="40" spans="1:49" x14ac:dyDescent="0.2">
      <c r="B40" s="158" t="s">
        <v>257</v>
      </c>
      <c r="C40" s="62" t="s">
        <v>38</v>
      </c>
      <c r="D40" s="109">
        <v>395303</v>
      </c>
      <c r="E40" s="110">
        <v>395302.84000000008</v>
      </c>
      <c r="F40" s="110"/>
      <c r="G40" s="110"/>
      <c r="H40" s="110"/>
      <c r="I40" s="109">
        <v>90837</v>
      </c>
      <c r="J40" s="109">
        <v>2087853</v>
      </c>
      <c r="K40" s="110">
        <v>2087851.84</v>
      </c>
      <c r="L40" s="110"/>
      <c r="M40" s="110"/>
      <c r="N40" s="110"/>
      <c r="O40" s="109"/>
      <c r="P40" s="109">
        <v>2680856</v>
      </c>
      <c r="Q40" s="110">
        <v>2680854.85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1022727</v>
      </c>
      <c r="AT40" s="113">
        <v>318</v>
      </c>
      <c r="AU40" s="113"/>
      <c r="AV40" s="113"/>
      <c r="AW40" s="318"/>
    </row>
    <row r="41" spans="1:49" s="5" customFormat="1" ht="25.5" x14ac:dyDescent="0.2">
      <c r="A41" s="35"/>
      <c r="B41" s="158" t="s">
        <v>258</v>
      </c>
      <c r="C41" s="62" t="s">
        <v>129</v>
      </c>
      <c r="D41" s="109">
        <v>110418</v>
      </c>
      <c r="E41" s="110">
        <v>110417.32000000002</v>
      </c>
      <c r="F41" s="110"/>
      <c r="G41" s="110"/>
      <c r="H41" s="110"/>
      <c r="I41" s="109">
        <v>23563</v>
      </c>
      <c r="J41" s="109">
        <v>199873</v>
      </c>
      <c r="K41" s="110">
        <v>199873.26</v>
      </c>
      <c r="L41" s="110"/>
      <c r="M41" s="110"/>
      <c r="N41" s="110"/>
      <c r="O41" s="109"/>
      <c r="P41" s="109">
        <v>220786</v>
      </c>
      <c r="Q41" s="110">
        <v>220784.76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153887</v>
      </c>
      <c r="AT41" s="113">
        <v>219</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951657</v>
      </c>
      <c r="E44" s="118">
        <v>951657</v>
      </c>
      <c r="F44" s="118"/>
      <c r="G44" s="118"/>
      <c r="H44" s="118"/>
      <c r="I44" s="117">
        <v>419190</v>
      </c>
      <c r="J44" s="117">
        <v>3164627</v>
      </c>
      <c r="K44" s="118">
        <v>3164627</v>
      </c>
      <c r="L44" s="118"/>
      <c r="M44" s="118"/>
      <c r="N44" s="118"/>
      <c r="O44" s="117"/>
      <c r="P44" s="117">
        <v>3793784</v>
      </c>
      <c r="Q44" s="118">
        <v>3793784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1421970</v>
      </c>
      <c r="AT44" s="119">
        <v>2171</v>
      </c>
      <c r="AU44" s="119"/>
      <c r="AV44" s="119"/>
      <c r="AW44" s="317"/>
    </row>
    <row r="45" spans="1:49" x14ac:dyDescent="0.2">
      <c r="B45" s="161" t="s">
        <v>262</v>
      </c>
      <c r="C45" s="62" t="s">
        <v>19</v>
      </c>
      <c r="D45" s="109">
        <v>948695</v>
      </c>
      <c r="E45" s="110">
        <v>948695</v>
      </c>
      <c r="F45" s="110"/>
      <c r="G45" s="110"/>
      <c r="H45" s="110"/>
      <c r="I45" s="109">
        <v>363584</v>
      </c>
      <c r="J45" s="109">
        <v>1485184</v>
      </c>
      <c r="K45" s="110">
        <v>1485184</v>
      </c>
      <c r="L45" s="110"/>
      <c r="M45" s="110"/>
      <c r="N45" s="110"/>
      <c r="O45" s="109"/>
      <c r="P45" s="109">
        <v>1565959</v>
      </c>
      <c r="Q45" s="110">
        <v>1565959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891190</v>
      </c>
      <c r="AT45" s="113">
        <v>-90</v>
      </c>
      <c r="AU45" s="113"/>
      <c r="AV45" s="113"/>
      <c r="AW45" s="318"/>
    </row>
    <row r="46" spans="1:49" x14ac:dyDescent="0.2">
      <c r="B46" s="161" t="s">
        <v>263</v>
      </c>
      <c r="C46" s="62" t="s">
        <v>20</v>
      </c>
      <c r="D46" s="109">
        <v>1032030</v>
      </c>
      <c r="E46" s="110">
        <v>1032030</v>
      </c>
      <c r="F46" s="110"/>
      <c r="G46" s="110"/>
      <c r="H46" s="110"/>
      <c r="I46" s="109">
        <v>377146</v>
      </c>
      <c r="J46" s="109">
        <v>940257</v>
      </c>
      <c r="K46" s="110">
        <v>940257</v>
      </c>
      <c r="L46" s="110"/>
      <c r="M46" s="110"/>
      <c r="N46" s="110"/>
      <c r="O46" s="109"/>
      <c r="P46" s="109">
        <v>980420</v>
      </c>
      <c r="Q46" s="110">
        <v>980420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1763082</v>
      </c>
      <c r="AT46" s="113">
        <v>2621</v>
      </c>
      <c r="AU46" s="113"/>
      <c r="AV46" s="113"/>
      <c r="AW46" s="318"/>
    </row>
    <row r="47" spans="1:49" x14ac:dyDescent="0.2">
      <c r="B47" s="161" t="s">
        <v>264</v>
      </c>
      <c r="C47" s="62" t="s">
        <v>21</v>
      </c>
      <c r="D47" s="109">
        <v>2443241</v>
      </c>
      <c r="E47" s="110">
        <v>2443241</v>
      </c>
      <c r="F47" s="110"/>
      <c r="G47" s="110"/>
      <c r="H47" s="110"/>
      <c r="I47" s="109">
        <v>758372</v>
      </c>
      <c r="J47" s="109">
        <v>8726544</v>
      </c>
      <c r="K47" s="110">
        <v>8726544</v>
      </c>
      <c r="L47" s="110"/>
      <c r="M47" s="110"/>
      <c r="N47" s="110"/>
      <c r="O47" s="109"/>
      <c r="P47" s="109">
        <v>8682758</v>
      </c>
      <c r="Q47" s="110">
        <v>8682758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2946882</v>
      </c>
      <c r="AT47" s="113">
        <v>19750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226907.17504</v>
      </c>
      <c r="E49" s="110">
        <v>-40500.234959999972</v>
      </c>
      <c r="F49" s="110"/>
      <c r="G49" s="110"/>
      <c r="H49" s="110"/>
      <c r="I49" s="109">
        <v>-20982</v>
      </c>
      <c r="J49" s="109">
        <v>442333.03579999995</v>
      </c>
      <c r="K49" s="110">
        <v>36253.687199999942</v>
      </c>
      <c r="L49" s="110"/>
      <c r="M49" s="110"/>
      <c r="N49" s="110"/>
      <c r="O49" s="109"/>
      <c r="P49" s="109">
        <v>-184571.48259999993</v>
      </c>
      <c r="Q49" s="110">
        <v>-640536.52679999999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771225.29009999998</v>
      </c>
      <c r="AT49" s="113">
        <v>-9450.1102599999977</v>
      </c>
      <c r="AU49" s="113"/>
      <c r="AV49" s="113"/>
      <c r="AW49" s="318"/>
    </row>
    <row r="50" spans="2:49" ht="25.5" x14ac:dyDescent="0.2">
      <c r="B50" s="155" t="s">
        <v>266</v>
      </c>
      <c r="C50" s="62"/>
      <c r="D50" s="109">
        <v>3638.27</v>
      </c>
      <c r="E50" s="110">
        <v>3638.27</v>
      </c>
      <c r="F50" s="110"/>
      <c r="G50" s="110"/>
      <c r="H50" s="110"/>
      <c r="I50" s="109">
        <v>1174</v>
      </c>
      <c r="J50" s="109">
        <v>6189.7800000000025</v>
      </c>
      <c r="K50" s="110">
        <v>6189.7800000000025</v>
      </c>
      <c r="L50" s="110"/>
      <c r="M50" s="110"/>
      <c r="N50" s="110"/>
      <c r="O50" s="109"/>
      <c r="P50" s="109">
        <v>7038.38</v>
      </c>
      <c r="Q50" s="110">
        <v>7038.38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4606.6100000000024</v>
      </c>
      <c r="AT50" s="113">
        <v>5.2299999999999995</v>
      </c>
      <c r="AU50" s="113"/>
      <c r="AV50" s="113"/>
      <c r="AW50" s="318"/>
    </row>
    <row r="51" spans="2:49" x14ac:dyDescent="0.2">
      <c r="B51" s="155" t="s">
        <v>267</v>
      </c>
      <c r="C51" s="62"/>
      <c r="D51" s="109">
        <v>7070027</v>
      </c>
      <c r="E51" s="110">
        <v>7070027</v>
      </c>
      <c r="F51" s="110"/>
      <c r="G51" s="110"/>
      <c r="H51" s="110"/>
      <c r="I51" s="109">
        <v>2363096</v>
      </c>
      <c r="J51" s="109">
        <v>11705943</v>
      </c>
      <c r="K51" s="110">
        <v>11705943</v>
      </c>
      <c r="L51" s="110"/>
      <c r="M51" s="110"/>
      <c r="N51" s="110"/>
      <c r="O51" s="109"/>
      <c r="P51" s="109">
        <v>13309412</v>
      </c>
      <c r="Q51" s="110">
        <v>13309412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2660707</v>
      </c>
      <c r="AT51" s="113">
        <v>10568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15736</v>
      </c>
      <c r="E56" s="122">
        <v>14639</v>
      </c>
      <c r="F56" s="122"/>
      <c r="G56" s="122"/>
      <c r="H56" s="122"/>
      <c r="I56" s="121">
        <v>7114</v>
      </c>
      <c r="J56" s="121">
        <v>33107</v>
      </c>
      <c r="K56" s="122">
        <v>31093</v>
      </c>
      <c r="L56" s="122"/>
      <c r="M56" s="122"/>
      <c r="N56" s="122"/>
      <c r="O56" s="121"/>
      <c r="P56" s="121">
        <v>33698</v>
      </c>
      <c r="Q56" s="122">
        <v>27908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77182</v>
      </c>
      <c r="AT56" s="123">
        <v>1272</v>
      </c>
      <c r="AU56" s="123"/>
      <c r="AV56" s="123"/>
      <c r="AW56" s="309"/>
    </row>
    <row r="57" spans="2:49" x14ac:dyDescent="0.2">
      <c r="B57" s="161" t="s">
        <v>273</v>
      </c>
      <c r="C57" s="62" t="s">
        <v>25</v>
      </c>
      <c r="D57" s="124">
        <v>24529</v>
      </c>
      <c r="E57" s="125">
        <v>23798</v>
      </c>
      <c r="F57" s="125"/>
      <c r="G57" s="125"/>
      <c r="H57" s="125"/>
      <c r="I57" s="124">
        <v>10100</v>
      </c>
      <c r="J57" s="124">
        <v>55161</v>
      </c>
      <c r="K57" s="125">
        <v>52811</v>
      </c>
      <c r="L57" s="125"/>
      <c r="M57" s="125"/>
      <c r="N57" s="125"/>
      <c r="O57" s="124"/>
      <c r="P57" s="124">
        <v>46787</v>
      </c>
      <c r="Q57" s="125">
        <v>48630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111570</v>
      </c>
      <c r="AT57" s="126">
        <v>1272</v>
      </c>
      <c r="AU57" s="126"/>
      <c r="AV57" s="126"/>
      <c r="AW57" s="310"/>
    </row>
    <row r="58" spans="2:49" x14ac:dyDescent="0.2">
      <c r="B58" s="161" t="s">
        <v>274</v>
      </c>
      <c r="C58" s="62" t="s">
        <v>26</v>
      </c>
      <c r="D58" s="330"/>
      <c r="E58" s="331"/>
      <c r="F58" s="331"/>
      <c r="G58" s="331"/>
      <c r="H58" s="331"/>
      <c r="I58" s="330"/>
      <c r="J58" s="124">
        <v>3852</v>
      </c>
      <c r="K58" s="125">
        <v>3852</v>
      </c>
      <c r="L58" s="125"/>
      <c r="M58" s="125"/>
      <c r="N58" s="125"/>
      <c r="O58" s="124"/>
      <c r="P58" s="124">
        <v>341</v>
      </c>
      <c r="Q58" s="125">
        <v>341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315890</v>
      </c>
      <c r="E59" s="125">
        <v>301919</v>
      </c>
      <c r="F59" s="125"/>
      <c r="G59" s="125"/>
      <c r="H59" s="125"/>
      <c r="I59" s="124">
        <v>108356</v>
      </c>
      <c r="J59" s="124">
        <v>567533</v>
      </c>
      <c r="K59" s="125">
        <v>547482</v>
      </c>
      <c r="L59" s="125"/>
      <c r="M59" s="125"/>
      <c r="N59" s="125"/>
      <c r="O59" s="124"/>
      <c r="P59" s="124">
        <v>594959</v>
      </c>
      <c r="Q59" s="125">
        <v>615959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942537</v>
      </c>
      <c r="AT59" s="126">
        <v>15535</v>
      </c>
      <c r="AU59" s="126"/>
      <c r="AV59" s="126"/>
      <c r="AW59" s="310"/>
    </row>
    <row r="60" spans="2:49" x14ac:dyDescent="0.2">
      <c r="B60" s="161" t="s">
        <v>276</v>
      </c>
      <c r="C60" s="62"/>
      <c r="D60" s="127">
        <f t="shared" ref="D60:AC60" si="0">D$59/12</f>
        <v>26324.166666666668</v>
      </c>
      <c r="E60" s="128">
        <f t="shared" si="0"/>
        <v>25159.916666666668</v>
      </c>
      <c r="F60" s="128">
        <f t="shared" si="0"/>
        <v>0</v>
      </c>
      <c r="G60" s="128">
        <f t="shared" si="0"/>
        <v>0</v>
      </c>
      <c r="H60" s="128">
        <f t="shared" si="0"/>
        <v>0</v>
      </c>
      <c r="I60" s="127">
        <f t="shared" si="0"/>
        <v>9029.6666666666661</v>
      </c>
      <c r="J60" s="127">
        <f t="shared" si="0"/>
        <v>47294.416666666664</v>
      </c>
      <c r="K60" s="128">
        <f t="shared" si="0"/>
        <v>45623.5</v>
      </c>
      <c r="L60" s="128">
        <f t="shared" si="0"/>
        <v>0</v>
      </c>
      <c r="M60" s="128">
        <f t="shared" si="0"/>
        <v>0</v>
      </c>
      <c r="N60" s="128">
        <f t="shared" si="0"/>
        <v>0</v>
      </c>
      <c r="O60" s="127">
        <f t="shared" si="0"/>
        <v>0</v>
      </c>
      <c r="P60" s="127">
        <f t="shared" si="0"/>
        <v>49579.916666666664</v>
      </c>
      <c r="Q60" s="128">
        <f t="shared" si="0"/>
        <v>51329.916666666664</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78544.75</v>
      </c>
      <c r="AT60" s="129">
        <f>AT$59/12</f>
        <v>1294.5833333333333</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22485921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-11219695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486" yWindow="64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60491703</v>
      </c>
      <c r="E5" s="118">
        <v>59580665.129899994</v>
      </c>
      <c r="F5" s="118"/>
      <c r="G5" s="130"/>
      <c r="H5" s="130"/>
      <c r="I5" s="117">
        <v>28635907</v>
      </c>
      <c r="J5" s="117">
        <v>176792082</v>
      </c>
      <c r="K5" s="118">
        <v>172510336.29199037</v>
      </c>
      <c r="L5" s="118"/>
      <c r="M5" s="118"/>
      <c r="N5" s="118"/>
      <c r="O5" s="117"/>
      <c r="P5" s="117">
        <v>222882479</v>
      </c>
      <c r="Q5" s="118">
        <v>228896143.90125647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636198468</v>
      </c>
      <c r="AT5" s="119">
        <v>778766</v>
      </c>
      <c r="AU5" s="119"/>
      <c r="AV5" s="312"/>
      <c r="AW5" s="317"/>
    </row>
    <row r="6" spans="2:49" x14ac:dyDescent="0.2">
      <c r="B6" s="176" t="s">
        <v>279</v>
      </c>
      <c r="C6" s="133" t="s">
        <v>8</v>
      </c>
      <c r="D6" s="109">
        <v>117909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40894</v>
      </c>
      <c r="AU6" s="113"/>
      <c r="AV6" s="311"/>
      <c r="AW6" s="318"/>
    </row>
    <row r="7" spans="2:49" x14ac:dyDescent="0.2">
      <c r="B7" s="176" t="s">
        <v>280</v>
      </c>
      <c r="C7" s="133" t="s">
        <v>9</v>
      </c>
      <c r="D7" s="109">
        <v>102659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-59794.149999998976</v>
      </c>
      <c r="K9" s="288"/>
      <c r="L9" s="288"/>
      <c r="M9" s="288"/>
      <c r="N9" s="288"/>
      <c r="O9" s="292"/>
      <c r="P9" s="109">
        <v>119827.79000000772</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-38109.75</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-3332300</v>
      </c>
      <c r="E11" s="110"/>
      <c r="F11" s="110"/>
      <c r="G11" s="110"/>
      <c r="H11" s="110"/>
      <c r="I11" s="109"/>
      <c r="J11" s="109">
        <v>0.46999999973922968</v>
      </c>
      <c r="K11" s="110"/>
      <c r="L11" s="110"/>
      <c r="M11" s="110"/>
      <c r="N11" s="110"/>
      <c r="O11" s="109"/>
      <c r="P11" s="109">
        <v>-1054551.0399999998</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-3205179</v>
      </c>
      <c r="AT11" s="113"/>
      <c r="AU11" s="113"/>
      <c r="AV11" s="311"/>
      <c r="AW11" s="318"/>
    </row>
    <row r="12" spans="2:49" x14ac:dyDescent="0.2">
      <c r="B12" s="176" t="s">
        <v>283</v>
      </c>
      <c r="C12" s="133" t="s">
        <v>44</v>
      </c>
      <c r="D12" s="109"/>
      <c r="E12" s="289"/>
      <c r="F12" s="289"/>
      <c r="G12" s="289"/>
      <c r="H12" s="289"/>
      <c r="I12" s="293"/>
      <c r="J12" s="109">
        <v>0.31000000005587935</v>
      </c>
      <c r="K12" s="289"/>
      <c r="L12" s="289"/>
      <c r="M12" s="289"/>
      <c r="N12" s="289"/>
      <c r="O12" s="293"/>
      <c r="P12" s="109">
        <v>208873.97000000509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-3335424</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7877805.709999999</v>
      </c>
      <c r="F15" s="110"/>
      <c r="G15" s="110"/>
      <c r="H15" s="110"/>
      <c r="I15" s="109">
        <v>7877806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1152387.48</v>
      </c>
      <c r="F16" s="110"/>
      <c r="G16" s="110"/>
      <c r="H16" s="110"/>
      <c r="I16" s="109">
        <v>1152387</v>
      </c>
      <c r="J16" s="109"/>
      <c r="K16" s="110">
        <v>-1929958.7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5612032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9919708.7799999993</v>
      </c>
      <c r="F20" s="110"/>
      <c r="G20" s="110"/>
      <c r="H20" s="110"/>
      <c r="I20" s="109">
        <v>9919709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58768888</v>
      </c>
      <c r="E23" s="288"/>
      <c r="F23" s="288"/>
      <c r="G23" s="288"/>
      <c r="H23" s="288"/>
      <c r="I23" s="292"/>
      <c r="J23" s="109">
        <v>145234658</v>
      </c>
      <c r="K23" s="288"/>
      <c r="L23" s="288"/>
      <c r="M23" s="288"/>
      <c r="N23" s="288"/>
      <c r="O23" s="292"/>
      <c r="P23" s="109">
        <v>171797536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470232954</v>
      </c>
      <c r="AT23" s="113">
        <v>474204</v>
      </c>
      <c r="AU23" s="113"/>
      <c r="AV23" s="311"/>
      <c r="AW23" s="318"/>
    </row>
    <row r="24" spans="2:49" ht="28.5" customHeight="1" x14ac:dyDescent="0.2">
      <c r="B24" s="178" t="s">
        <v>114</v>
      </c>
      <c r="C24" s="133"/>
      <c r="D24" s="293"/>
      <c r="E24" s="110">
        <v>64866869.128999993</v>
      </c>
      <c r="F24" s="110"/>
      <c r="G24" s="110"/>
      <c r="H24" s="110"/>
      <c r="I24" s="109">
        <v>42751204</v>
      </c>
      <c r="J24" s="293"/>
      <c r="K24" s="110">
        <v>145861738.89999998</v>
      </c>
      <c r="L24" s="110"/>
      <c r="M24" s="110"/>
      <c r="N24" s="110"/>
      <c r="O24" s="109"/>
      <c r="P24" s="293"/>
      <c r="Q24" s="110">
        <v>177728033.22999987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9015656</v>
      </c>
      <c r="E26" s="288"/>
      <c r="F26" s="288"/>
      <c r="G26" s="288"/>
      <c r="H26" s="288"/>
      <c r="I26" s="292"/>
      <c r="J26" s="109">
        <v>15787308</v>
      </c>
      <c r="K26" s="288"/>
      <c r="L26" s="288"/>
      <c r="M26" s="288"/>
      <c r="N26" s="288"/>
      <c r="O26" s="292"/>
      <c r="P26" s="109">
        <v>15158401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94678109</v>
      </c>
      <c r="AT26" s="113">
        <v>11743</v>
      </c>
      <c r="AU26" s="113"/>
      <c r="AV26" s="311"/>
      <c r="AW26" s="318"/>
    </row>
    <row r="27" spans="2:49" s="5" customFormat="1" ht="25.5" x14ac:dyDescent="0.2">
      <c r="B27" s="178" t="s">
        <v>85</v>
      </c>
      <c r="C27" s="133"/>
      <c r="D27" s="293"/>
      <c r="E27" s="110">
        <v>1573131.1831000005</v>
      </c>
      <c r="F27" s="110"/>
      <c r="G27" s="110"/>
      <c r="H27" s="110"/>
      <c r="I27" s="109">
        <v>1495392</v>
      </c>
      <c r="J27" s="293"/>
      <c r="K27" s="110">
        <v>1424347.6441386391</v>
      </c>
      <c r="L27" s="110"/>
      <c r="M27" s="110"/>
      <c r="N27" s="110"/>
      <c r="O27" s="109"/>
      <c r="P27" s="293"/>
      <c r="Q27" s="110">
        <v>1743149.9525540913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4001988</v>
      </c>
      <c r="E28" s="289"/>
      <c r="F28" s="289"/>
      <c r="G28" s="289"/>
      <c r="H28" s="289"/>
      <c r="I28" s="293"/>
      <c r="J28" s="109">
        <v>12004981</v>
      </c>
      <c r="K28" s="289"/>
      <c r="L28" s="289"/>
      <c r="M28" s="289"/>
      <c r="N28" s="289"/>
      <c r="O28" s="293"/>
      <c r="P28" s="109">
        <v>20072169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22614200</v>
      </c>
      <c r="AT28" s="113">
        <v>129711.00000000001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74624</v>
      </c>
      <c r="K30" s="288"/>
      <c r="L30" s="288"/>
      <c r="M30" s="288"/>
      <c r="N30" s="288"/>
      <c r="O30" s="292"/>
      <c r="P30" s="109">
        <v>19835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61016.14</v>
      </c>
      <c r="L31" s="110"/>
      <c r="M31" s="110"/>
      <c r="N31" s="110"/>
      <c r="O31" s="109"/>
      <c r="P31" s="293"/>
      <c r="Q31" s="110">
        <v>-82304.81</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63474</v>
      </c>
      <c r="K32" s="289"/>
      <c r="L32" s="289"/>
      <c r="M32" s="289"/>
      <c r="N32" s="289"/>
      <c r="O32" s="293"/>
      <c r="P32" s="109">
        <v>52274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6080143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6080143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7123039</v>
      </c>
      <c r="E36" s="110">
        <v>7123039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469918</v>
      </c>
      <c r="K38" s="288"/>
      <c r="L38" s="288"/>
      <c r="M38" s="288"/>
      <c r="N38" s="288"/>
      <c r="O38" s="292"/>
      <c r="P38" s="109">
        <v>766296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24022620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-38109.75</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-3332300</v>
      </c>
      <c r="E41" s="288"/>
      <c r="F41" s="288"/>
      <c r="G41" s="288"/>
      <c r="H41" s="288"/>
      <c r="I41" s="292"/>
      <c r="J41" s="109">
        <v>2380</v>
      </c>
      <c r="K41" s="288"/>
      <c r="L41" s="288"/>
      <c r="M41" s="288"/>
      <c r="N41" s="288"/>
      <c r="O41" s="292"/>
      <c r="P41" s="109">
        <v>-1054285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-3205177</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2240208</v>
      </c>
      <c r="K43" s="289"/>
      <c r="L43" s="289"/>
      <c r="M43" s="289"/>
      <c r="N43" s="289"/>
      <c r="O43" s="293"/>
      <c r="P43" s="109">
        <v>1489999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-3335424</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141061</v>
      </c>
      <c r="E49" s="110">
        <v>478062.22999999992</v>
      </c>
      <c r="F49" s="110"/>
      <c r="G49" s="110"/>
      <c r="H49" s="110"/>
      <c r="I49" s="109">
        <v>224438</v>
      </c>
      <c r="J49" s="109">
        <v>1142127</v>
      </c>
      <c r="K49" s="110">
        <v>3306262.9876463078</v>
      </c>
      <c r="L49" s="110"/>
      <c r="M49" s="110"/>
      <c r="N49" s="110"/>
      <c r="O49" s="109"/>
      <c r="P49" s="109">
        <v>693718</v>
      </c>
      <c r="Q49" s="110">
        <v>3638912.3823536891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1420951</v>
      </c>
      <c r="AT49" s="113"/>
      <c r="AU49" s="113"/>
      <c r="AV49" s="311"/>
      <c r="AW49" s="318"/>
    </row>
    <row r="50" spans="2:49" x14ac:dyDescent="0.2">
      <c r="B50" s="176" t="s">
        <v>119</v>
      </c>
      <c r="C50" s="133" t="s">
        <v>34</v>
      </c>
      <c r="D50" s="109">
        <v>99291</v>
      </c>
      <c r="E50" s="289"/>
      <c r="F50" s="289"/>
      <c r="G50" s="289"/>
      <c r="H50" s="289"/>
      <c r="I50" s="293"/>
      <c r="J50" s="109">
        <v>533914</v>
      </c>
      <c r="K50" s="289"/>
      <c r="L50" s="289"/>
      <c r="M50" s="289"/>
      <c r="N50" s="289"/>
      <c r="O50" s="293"/>
      <c r="P50" s="109">
        <v>996173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786120</v>
      </c>
      <c r="AT50" s="113">
        <v>165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5502</v>
      </c>
      <c r="L53" s="110"/>
      <c r="M53" s="110"/>
      <c r="N53" s="110"/>
      <c r="O53" s="109"/>
      <c r="P53" s="109"/>
      <c r="Q53" s="110">
        <v>203932</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59365590</v>
      </c>
      <c r="E54" s="115">
        <f>E24+E27+E31+E35-E36+E39+E42+E45+E46-E49+E51+E52+E53</f>
        <v>64919042.082099997</v>
      </c>
      <c r="F54" s="115">
        <f>F24+F27+F31+F35-F36+F39+F42+F45+F46-F49+F51+F52+F53</f>
        <v>0</v>
      </c>
      <c r="G54" s="115">
        <f>G24+G27+G31+G35-G36+G39+G42+G45+G46-G49+G51+G52+G53</f>
        <v>0</v>
      </c>
      <c r="H54" s="115">
        <f>H24+H27+H31+H35-H36+H39+H42+H45+H46-H49+H51+H52+H53</f>
        <v>0</v>
      </c>
      <c r="I54" s="114">
        <f>I24+I27+I31+I35-I36+I39+I42+I45+I46-I49+I51+I52+I53</f>
        <v>44022158</v>
      </c>
      <c r="J54" s="114">
        <f>J23+J26-J28+J30-J32+J34-J36+J38+J41-J43+J45+J46-J47-J49+J50+J51+J52+J53</f>
        <v>146652012</v>
      </c>
      <c r="K54" s="115">
        <f>K24+K27+K31+K35-K36+K39+K42+K45+K46-K49+K51+K52+K53</f>
        <v>144046341.69649228</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165375796</v>
      </c>
      <c r="Q54" s="115">
        <f>Q24+Q27+Q31+Q35-Q36+Q39+Q42+Q45+Q46-Q49+Q51+Q52+Q53</f>
        <v>175915788.24020025</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565814899</v>
      </c>
      <c r="AT54" s="116">
        <f>AT23+AT26-AT28+AT30-AT32+AT34-AT36+AT38+AT41-AT43+AT45+AT46-AT47-AT49+AT50+AT51+AT52+AT53</f>
        <v>356401</v>
      </c>
      <c r="AU54" s="116">
        <f>AU23+AU26-AU28+AU30-AU32+AU34-AU36+AU38+AU41-AU43+AU45+AU46-AU47-AU49+AU50+AU51+AU52+AU53</f>
        <v>0</v>
      </c>
      <c r="AV54" s="311"/>
      <c r="AW54" s="318"/>
    </row>
    <row r="55" spans="2:49" ht="25.5" x14ac:dyDescent="0.2">
      <c r="B55" s="181" t="s">
        <v>304</v>
      </c>
      <c r="C55" s="137" t="s">
        <v>28</v>
      </c>
      <c r="D55" s="114">
        <f t="shared" ref="D55:AC55" si="0">MIN(MAX(0,D56),MAX(0,D57))</f>
        <v>92146</v>
      </c>
      <c r="E55" s="115">
        <f t="shared" si="0"/>
        <v>92146</v>
      </c>
      <c r="F55" s="115">
        <f t="shared" si="0"/>
        <v>0</v>
      </c>
      <c r="G55" s="115">
        <f t="shared" si="0"/>
        <v>0</v>
      </c>
      <c r="H55" s="115">
        <f t="shared" si="0"/>
        <v>0</v>
      </c>
      <c r="I55" s="114">
        <f t="shared" si="0"/>
        <v>3751</v>
      </c>
      <c r="J55" s="114">
        <f t="shared" si="0"/>
        <v>179243</v>
      </c>
      <c r="K55" s="115">
        <f t="shared" si="0"/>
        <v>179243</v>
      </c>
      <c r="L55" s="115">
        <f t="shared" si="0"/>
        <v>0</v>
      </c>
      <c r="M55" s="115">
        <f t="shared" si="0"/>
        <v>0</v>
      </c>
      <c r="N55" s="115">
        <f t="shared" si="0"/>
        <v>0</v>
      </c>
      <c r="O55" s="114">
        <f t="shared" si="0"/>
        <v>0</v>
      </c>
      <c r="P55" s="114">
        <f t="shared" si="0"/>
        <v>415875</v>
      </c>
      <c r="Q55" s="115">
        <f t="shared" si="0"/>
        <v>415875</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105076</v>
      </c>
      <c r="E56" s="110">
        <v>105076</v>
      </c>
      <c r="F56" s="110"/>
      <c r="G56" s="110"/>
      <c r="H56" s="110"/>
      <c r="I56" s="109">
        <v>36843</v>
      </c>
      <c r="J56" s="109">
        <v>303110</v>
      </c>
      <c r="K56" s="110">
        <v>303110</v>
      </c>
      <c r="L56" s="110"/>
      <c r="M56" s="110"/>
      <c r="N56" s="110"/>
      <c r="O56" s="109"/>
      <c r="P56" s="109">
        <v>420058</v>
      </c>
      <c r="Q56" s="110">
        <v>420058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92146</v>
      </c>
      <c r="E57" s="110">
        <v>92146</v>
      </c>
      <c r="F57" s="110"/>
      <c r="G57" s="110"/>
      <c r="H57" s="110"/>
      <c r="I57" s="109">
        <v>3751</v>
      </c>
      <c r="J57" s="109">
        <v>179243</v>
      </c>
      <c r="K57" s="110">
        <v>179243</v>
      </c>
      <c r="L57" s="110"/>
      <c r="M57" s="110"/>
      <c r="N57" s="110"/>
      <c r="O57" s="109"/>
      <c r="P57" s="109">
        <v>415875</v>
      </c>
      <c r="Q57" s="110">
        <v>415875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238219</v>
      </c>
      <c r="AT57" s="113">
        <v>484</v>
      </c>
      <c r="AU57" s="113"/>
      <c r="AV57" s="113"/>
      <c r="AW57" s="318"/>
    </row>
    <row r="58" spans="2:49" s="5" customFormat="1" x14ac:dyDescent="0.2">
      <c r="B58" s="184" t="s">
        <v>484</v>
      </c>
      <c r="C58" s="185"/>
      <c r="D58" s="186"/>
      <c r="E58" s="187">
        <v>1517146.400000005</v>
      </c>
      <c r="F58" s="187"/>
      <c r="G58" s="187"/>
      <c r="H58" s="187"/>
      <c r="I58" s="186">
        <v>1517146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29075267.879999999</v>
      </c>
      <c r="D5" s="118">
        <v>33024282.570599996</v>
      </c>
      <c r="E5" s="346"/>
      <c r="F5" s="346"/>
      <c r="G5" s="312"/>
      <c r="H5" s="117">
        <v>92144463.340000004</v>
      </c>
      <c r="I5" s="118">
        <v>108091431.3462546</v>
      </c>
      <c r="J5" s="346"/>
      <c r="K5" s="346"/>
      <c r="L5" s="312"/>
      <c r="M5" s="117">
        <v>206042818.99000004</v>
      </c>
      <c r="N5" s="118">
        <v>210359697.76064545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29040076.689999998</v>
      </c>
      <c r="D6" s="110">
        <v>32731419.331799995</v>
      </c>
      <c r="E6" s="115">
        <f>SUM('Pt 1 Summary of Data'!E$12,'Pt 1 Summary of Data'!E$22)+SUM('Pt 1 Summary of Data'!G$12,'Pt 1 Summary of Data'!G$22)-SUM('Pt 1 Summary of Data'!H$12,'Pt 1 Summary of Data'!H$22)</f>
        <v>65011188.082099997</v>
      </c>
      <c r="F6" s="115">
        <f t="shared" ref="F6:F11" si="0">SUM(C6:E6)</f>
        <v>126782684.10389999</v>
      </c>
      <c r="G6" s="116">
        <f>SUM('Pt 1 Summary of Data'!I$12,'Pt 1 Summary of Data'!I$22)</f>
        <v>44025909</v>
      </c>
      <c r="H6" s="109">
        <v>92259095.712767065</v>
      </c>
      <c r="I6" s="110">
        <v>107946966.16771263</v>
      </c>
      <c r="J6" s="115">
        <f>SUM('Pt 1 Summary of Data'!K$12,'Pt 1 Summary of Data'!K$22)+SUM('Pt 1 Summary of Data'!M$12,'Pt 1 Summary of Data'!M$22)-SUM('Pt 1 Summary of Data'!N$12,'Pt 1 Summary of Data'!N$22)</f>
        <v>144225584.69649228</v>
      </c>
      <c r="K6" s="115">
        <f>SUM(H6:J6)</f>
        <v>344431646.57697201</v>
      </c>
      <c r="L6" s="116">
        <f>SUM('Pt 1 Summary of Data'!O$12,'Pt 1 Summary of Data'!O$22)</f>
        <v>0</v>
      </c>
      <c r="M6" s="109">
        <v>205878813.967233</v>
      </c>
      <c r="N6" s="110">
        <v>209302343.61498737</v>
      </c>
      <c r="O6" s="115">
        <f>SUM('Pt 1 Summary of Data'!Q$12,'Pt 1 Summary of Data'!Q$22)+SUM('Pt 1 Summary of Data'!S$12,'Pt 1 Summary of Data'!S$22)-SUM('Pt 1 Summary of Data'!T$12,'Pt 1 Summary of Data'!T$22)</f>
        <v>176331663.24020025</v>
      </c>
      <c r="P6" s="115">
        <f>SUM(M6:O6)</f>
        <v>591512820.8224206</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998845.15000000014</v>
      </c>
      <c r="D7" s="110">
        <v>941487.57</v>
      </c>
      <c r="E7" s="115">
        <f>SUM('Pt 1 Summary of Data'!E$37:E$41)+SUM('Pt 1 Summary of Data'!G$37:G$41)-SUM('Pt 1 Summary of Data'!H$37:H$41)+MAX(0,MIN('Pt 1 Summary of Data'!E$42+'Pt 1 Summary of Data'!G$42-'Pt 1 Summary of Data'!H$42,0.3%*('Pt 1 Summary of Data'!E$5+'Pt 1 Summary of Data'!G$5-'Pt 1 Summary of Data'!H$5-SUM(E$9:E$11))))</f>
        <v>877126.77000000014</v>
      </c>
      <c r="F7" s="115">
        <f t="shared" si="0"/>
        <v>2817459.49</v>
      </c>
      <c r="G7" s="116">
        <f>SUM('Pt 1 Summary of Data'!I$37:I$41)+MAX(0,MIN('Pt 1 Summary of Data'!I$42,0.3%*('Pt 1 Summary of Data'!I$5-SUM(G$9:G$10))))</f>
        <v>227706</v>
      </c>
      <c r="H7" s="109">
        <v>3352261.05</v>
      </c>
      <c r="I7" s="110">
        <v>3445861.9799999995</v>
      </c>
      <c r="J7" s="115">
        <f>SUM('Pt 1 Summary of Data'!K$37:K$41)+SUM('Pt 1 Summary of Data'!M$37:M$41)-SUM('Pt 1 Summary of Data'!N$37:N$41)+MAX(0,MIN('Pt 1 Summary of Data'!K$42+'Pt 1 Summary of Data'!M$42-'Pt 1 Summary of Data'!N$42,0.3%*('Pt 1 Summary of Data'!K$5+'Pt 1 Summary of Data'!M$5-'Pt 1 Summary of Data'!N$5-SUM(J$10:J$11))))</f>
        <v>3651703.0199999996</v>
      </c>
      <c r="K7" s="115">
        <f>SUM(H7:J7)</f>
        <v>10449826.049999999</v>
      </c>
      <c r="L7" s="116">
        <f>SUM('Pt 1 Summary of Data'!O$37:O$41)+MAX(0,MIN('Pt 1 Summary of Data'!O$42,0.3%*('Pt 1 Summary of Data'!O$5-L$10)))</f>
        <v>0</v>
      </c>
      <c r="M7" s="109">
        <v>6295765.0499999998</v>
      </c>
      <c r="N7" s="110">
        <v>5782703.4899999974</v>
      </c>
      <c r="O7" s="115">
        <f>SUM('Pt 1 Summary of Data'!Q$37:Q$41)+SUM('Pt 1 Summary of Data'!S$37:S$41)-SUM('Pt 1 Summary of Data'!T$37:T$41)+MAX(0,MIN('Pt 1 Summary of Data'!Q$42+'Pt 1 Summary of Data'!S$42-'Pt 1 Summary of Data'!T$42,0.3%*('Pt 1 Summary of Data'!Q$5+'Pt 1 Summary of Data'!S$5-'Pt 1 Summary of Data'!T$5)))</f>
        <v>4391445.51</v>
      </c>
      <c r="P7" s="115">
        <f>SUM(M7:O7)</f>
        <v>16469914.049999997</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1517146.400000005</v>
      </c>
      <c r="F8" s="269">
        <f t="shared" si="0"/>
        <v>1517146.400000005</v>
      </c>
      <c r="G8" s="270">
        <v>1517146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7877805.709999999</v>
      </c>
      <c r="F9" s="115">
        <f t="shared" si="0"/>
        <v>7877805.709999999</v>
      </c>
      <c r="G9" s="116">
        <f>'Pt 2 Premium and Claims'!I$15</f>
        <v>7877806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1152387.48</v>
      </c>
      <c r="F10" s="115">
        <f t="shared" si="0"/>
        <v>1152387.48</v>
      </c>
      <c r="G10" s="116">
        <f>'Pt 2 Premium and Claims'!I$16</f>
        <v>1152387</v>
      </c>
      <c r="H10" s="292"/>
      <c r="I10" s="288"/>
      <c r="J10" s="115">
        <f>'Pt 2 Premium and Claims'!K$16+'Pt 2 Premium and Claims'!M$16-'Pt 2 Premium and Claims'!N$16</f>
        <v>-1929958.7</v>
      </c>
      <c r="K10" s="115">
        <f>SUM(H10:J10)</f>
        <v>-1929958.7</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5612032</v>
      </c>
      <c r="F11" s="115">
        <f t="shared" si="0"/>
        <v>5612032</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30038921.839999996</v>
      </c>
      <c r="D12" s="115">
        <f>SUM(D$6:D$7)+IF(AND(OR('Company Information'!$C$12="District of Columbia",'Company Information'!$C$12="Massachusetts",'Company Information'!$C$12="Vermont"),SUM($C$6:$F$11,$C$15:$F$16,$C$37:$D$37)&lt;&gt;0),SUM(I$6:I$7),0)</f>
        <v>33672906.901799992</v>
      </c>
      <c r="E12" s="115">
        <f>SUM(E$6:E$7)-SUM(E$8:E$11)+IF(AND(OR('Company Information'!$C$12="District of Columbia",'Company Information'!$C$12="Massachusetts",'Company Information'!$C$12="Vermont"),SUM($C$6:$F$11,$C$15:$F$16,$C$37:$D$37)&lt;&gt;0),SUM(J$6:J$7)-SUM(J$10:J$11),0)</f>
        <v>49728943.262099996</v>
      </c>
      <c r="F12" s="115">
        <f>IFERROR(SUM(C$12:E$12)+C$17*MAX(0,E$49-C$49)+D$17*MAX(0,E$49-D$49),0)</f>
        <v>113440772.00389999</v>
      </c>
      <c r="G12" s="311"/>
      <c r="H12" s="114">
        <f>SUM(H$6:H$7)+IF(AND(OR('Company Information'!$C$12="District of Columbia",'Company Information'!$C$12="Massachusetts",'Company Information'!$C$12="Vermont"),SUM($H$6:$K$11,$H$15:$K$16,$H$37:$I$37)&lt;&gt;0),SUM(C$6:C$7),0)</f>
        <v>95611356.762767062</v>
      </c>
      <c r="I12" s="115">
        <f>SUM(I$6:I$7)+IF(AND(OR('Company Information'!$C$12="District of Columbia",'Company Information'!$C$12="Massachusetts",'Company Information'!$C$12="Vermont"),SUM($H$6:$K$11,$H$15:$K$16,$H$37:$I$37)&lt;&gt;0),SUM(D$6:D$7),0)</f>
        <v>111392828.14771263</v>
      </c>
      <c r="J12" s="115">
        <f>SUM(J$6:J$7)-SUM(J$10:J$11)+IF(AND(OR('Company Information'!$C$12="District of Columbia",'Company Information'!$C$12="Massachusetts",'Company Information'!$C$12="Vermont"),SUM($H$6:$K$11,$H$15:$K$16,$H$37:$I$37)&lt;&gt;0),SUM(E$6:E$7)-SUM(E$8:E$11),0)</f>
        <v>149807246.41649228</v>
      </c>
      <c r="K12" s="115">
        <f>IFERROR(SUM(H$12:J$12)+H$17*MAX(0,J$49-H$49)+I$17*MAX(0,J$49-I$49),0)</f>
        <v>356811431.32697201</v>
      </c>
      <c r="L12" s="311"/>
      <c r="M12" s="114">
        <f>SUM(M$6:M$7)</f>
        <v>212174579.01723301</v>
      </c>
      <c r="N12" s="115">
        <f>SUM(N$6:N$7)</f>
        <v>215085047.10498738</v>
      </c>
      <c r="O12" s="115">
        <f>SUM(O$6:O$7)</f>
        <v>180723108.75020024</v>
      </c>
      <c r="P12" s="115">
        <f>SUM(M$12:O$12)+M$17*MAX(0,O$49-M$49)+N$17*MAX(0,O$49-N$49)</f>
        <v>607982734.87242067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34330370.460000001</v>
      </c>
      <c r="D15" s="118">
        <v>37984235.752968028</v>
      </c>
      <c r="E15" s="106">
        <f>SUM('Pt 1 Summary of Data'!E$5:E$7)+SUM('Pt 1 Summary of Data'!G$5:G$7)-SUM('Pt 1 Summary of Data'!H$5:H$7)-SUM(E$9:E$11)+D$55</f>
        <v>60004177.091552772</v>
      </c>
      <c r="F15" s="106">
        <f>SUM(C15:E15)</f>
        <v>132318783.30452079</v>
      </c>
      <c r="G15" s="107">
        <f>SUM('Pt 1 Summary of Data'!I$5:I$7)-SUM(G$9:G$10)</f>
        <v>28635907</v>
      </c>
      <c r="H15" s="117">
        <v>124947520.13</v>
      </c>
      <c r="I15" s="118">
        <v>138055519.82225987</v>
      </c>
      <c r="J15" s="106">
        <f>SUM('Pt 1 Summary of Data'!K$5:K$7)+SUM('Pt 1 Summary of Data'!M$5:M$7)-SUM('Pt 1 Summary of Data'!N$5:N$7)-SUM(J$10:J$11)+I$55</f>
        <v>172467064.39230177</v>
      </c>
      <c r="K15" s="106">
        <f>SUM(H15:J15)</f>
        <v>435470104.34456164</v>
      </c>
      <c r="L15" s="107">
        <f>SUM('Pt 1 Summary of Data'!O$5:O$7)-L$10</f>
        <v>0</v>
      </c>
      <c r="M15" s="117">
        <v>251738169.44</v>
      </c>
      <c r="N15" s="118">
        <v>260838214.78107953</v>
      </c>
      <c r="O15" s="106">
        <f>SUM('Pt 1 Summary of Data'!Q$5:Q$7)+SUM('Pt 1 Summary of Data'!S$5:S$7)-SUM('Pt 1 Summary of Data'!T$5:T$7)+N$55</f>
        <v>228660583.50554973</v>
      </c>
      <c r="P15" s="106">
        <f>SUM(M15:O15)</f>
        <v>741236967.72662926</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-554220.07000000007</v>
      </c>
      <c r="D16" s="110">
        <v>-1418584.4113302787</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1474649.6445902784</v>
      </c>
      <c r="F16" s="115">
        <f>SUM(C16:E16)</f>
        <v>-498154.83674000041</v>
      </c>
      <c r="G16" s="116">
        <f>SUM('Pt 1 Summary of Data'!I$25:I$28,'Pt 1 Summary of Data'!I$30,'Pt 1 Summary of Data'!I$34:I$35)+IF('Company Information'!$C$15="No",IF(MAX('Pt 1 Summary of Data'!I$31:I$32)=0,MIN('Pt 1 Summary of Data'!I$31:I$32),MAX('Pt 1 Summary of Data'!I$31:I$32)),SUM('Pt 1 Summary of Data'!I$31:I$32))</f>
        <v>-935001</v>
      </c>
      <c r="H16" s="109">
        <v>2707531</v>
      </c>
      <c r="I16" s="110">
        <v>1427040.2640738944</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3682020.8740261067</v>
      </c>
      <c r="K16" s="115">
        <f>SUM(H16:J16)</f>
        <v>7816592.138100001</v>
      </c>
      <c r="L16" s="116">
        <f>SUM('Pt 1 Summary of Data'!O$25:O$28,'Pt 1 Summary of Data'!O$30,'Pt 1 Summary of Data'!O$34:O$35)+IF('Company Information'!$C$15="No",IF(MAX('Pt 1 Summary of Data'!O$31:O$32)=0,MIN('Pt 1 Summary of Data'!O$31:O$32),MAX('Pt 1 Summary of Data'!O$31:O$32)),SUM('Pt 1 Summary of Data'!O$31:O$32))</f>
        <v>0</v>
      </c>
      <c r="M16" s="109">
        <v>3095205</v>
      </c>
      <c r="N16" s="110">
        <v>5406423.3902761769</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13915294.512823822</v>
      </c>
      <c r="P16" s="115">
        <f>SUM(M16:O16)</f>
        <v>22416922.903099999</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34884590.530000001</v>
      </c>
      <c r="D17" s="115">
        <f>D$15-D$16+IF(AND(OR('Company Information'!$C$12="District of Columbia",'Company Information'!$C$12="Massachusetts",'Company Information'!$C$12="Vermont"),SUM($C$6:$F$11,$C$15:$F$16,$C$37:$D$37)&lt;&gt;0),I$15-I$16,0)</f>
        <v>39402820.164298303</v>
      </c>
      <c r="E17" s="115">
        <f>E$15-E$16+IF(AND(OR('Company Information'!$C$12="District of Columbia",'Company Information'!$C$12="Massachusetts",'Company Information'!$C$12="Vermont"),SUM($C$6:$F$11,$C$15:$F$16,$C$37:$D$37)&lt;&gt;0),J$15-J$16,0)</f>
        <v>58529527.446962491</v>
      </c>
      <c r="F17" s="115">
        <f>F$15-F$16+IF(AND(OR('Company Information'!$C$12="District of Columbia",'Company Information'!$C$12="Massachusetts",'Company Information'!$C$12="Vermont"),SUM($C$6:$F$11,$C$15:$F$16,$C$37:$D$37)&lt;&gt;0),K$15-K$16,0)</f>
        <v>132816938.14126079</v>
      </c>
      <c r="G17" s="314"/>
      <c r="H17" s="114">
        <f>H$15-H$16+IF(AND(OR('Company Information'!$C$12="District of Columbia",'Company Information'!$C$12="Massachusetts",'Company Information'!$C$12="Vermont"),SUM($H$6:$K$11,$H$15:$K$16,$H$37:$I$37)&lt;&gt;0),C$15-C$16,0)</f>
        <v>122239989.13</v>
      </c>
      <c r="I17" s="115">
        <f>I$15-I$16+IF(AND(OR('Company Information'!$C$12="District of Columbia",'Company Information'!$C$12="Massachusetts",'Company Information'!$C$12="Vermont"),SUM($H$6:$K$11,$H$15:$K$16,$H$37:$I$37)&lt;&gt;0),D$15-D$16,0)</f>
        <v>136628479.55818596</v>
      </c>
      <c r="J17" s="115">
        <f>J$15-J$16+IF(AND(OR('Company Information'!$C$12="District of Columbia",'Company Information'!$C$12="Massachusetts",'Company Information'!$C$12="Vermont"),SUM($H$6:$K$11,$H$15:$K$16,$H$37:$I$37)&lt;&gt;0),E$15-E$16,0)</f>
        <v>168785043.51827565</v>
      </c>
      <c r="K17" s="115">
        <f>K$15-K$16+IF(AND(OR('Company Information'!$C$12="District of Columbia",'Company Information'!$C$12="Massachusetts",'Company Information'!$C$12="Vermont"),SUM($H$6:$K$11,$H$15:$K$16,$H$37:$I$37)&lt;&gt;0),F$15-F$16,0)</f>
        <v>427653512.20646161</v>
      </c>
      <c r="L17" s="314"/>
      <c r="M17" s="114">
        <f>M$15-M$16</f>
        <v>248642964.44</v>
      </c>
      <c r="N17" s="115">
        <f>N$15-N$16</f>
        <v>255431791.39080337</v>
      </c>
      <c r="O17" s="115">
        <f>O$15-O$16</f>
        <v>214745288.99272591</v>
      </c>
      <c r="P17" s="115">
        <f>P$15-P$16</f>
        <v>718820044.82352924</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33706276</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4261580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1.1398458241458125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4.7199999999999999E-2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2282874.0975999995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-8396948</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2282874.0975999995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5609453.0976</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5609453.0976</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6374927.4576000003</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4979180.6000000006</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23026453.902400002</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4979180.6000000006</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23656726.399999999</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1.4248072801822658</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7117027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5612032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19064.916666666668</v>
      </c>
      <c r="D37" s="122">
        <v>20547</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25159.916666666668</v>
      </c>
      <c r="F37" s="256">
        <f>SUM(C$37:E$37)+IF(AND(OR('Company Information'!$C$12="District of Columbia",'Company Information'!$C$12="Massachusetts",'Company Information'!$C$12="Vermont"),SUM($C$6:$F$11,$C$15:$F$16,$C$37:$D$37)&lt;&gt;0,SUM(C$37:D$37)&lt;&gt;SUM(H$37:I$37)),SUM(H$37:I$37),0)</f>
        <v>64771.833333333343</v>
      </c>
      <c r="G37" s="312"/>
      <c r="H37" s="121">
        <v>35634.916666666664</v>
      </c>
      <c r="I37" s="122">
        <v>38617</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45623.5</v>
      </c>
      <c r="K37" s="256">
        <f>SUM(H$37:J$37)+IF(AND(OR('Company Information'!$C$12="District of Columbia",'Company Information'!$C$12="Massachusetts",'Company Information'!$C$12="Vermont"),SUM($H$6:$K$11,$H$15:$K$16,$H$37:$I$37)&lt;&gt;0,SUM(H$37:I$37)&lt;&gt;SUM(C$37:D$37)),SUM(C$37:D$37),0)</f>
        <v>119875.41666666666</v>
      </c>
      <c r="L37" s="312"/>
      <c r="M37" s="121">
        <v>61864.333333333336</v>
      </c>
      <c r="N37" s="122">
        <v>61906</v>
      </c>
      <c r="O37" s="256">
        <f>('Pt 1 Summary of Data'!Q$59+'Pt 1 Summary of Data'!S$59-'Pt 1 Summary of Data'!T$59)/12</f>
        <v>51329.916666666664</v>
      </c>
      <c r="P37" s="256">
        <f>SUM(M$37:O$37)</f>
        <v>175100.25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4.9095199999999953E-3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3613.3083602225665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1.2699869558931882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6.2350263596967197E-3</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0.86109429360127265</v>
      </c>
      <c r="D44" s="260">
        <f>IF(OR(D$37&lt;1000,D$17&lt;=0),"",D$12/D$17)</f>
        <v>0.85458113813665526</v>
      </c>
      <c r="E44" s="260">
        <f>IF(OR(E$37&lt;1000,E$17&lt;=0),"",E$12/E$17)</f>
        <v>0.84963855734462757</v>
      </c>
      <c r="F44" s="260">
        <f>IF(OR(F$37&lt;1000,F$17&lt;=0),"",F$12/F$17)</f>
        <v>0.85411374175217936</v>
      </c>
      <c r="G44" s="311"/>
      <c r="H44" s="262">
        <f>IF(OR(H$37&lt;1000,H$17&lt;=0),"",H$12/H$17)</f>
        <v>0.7821610378342404</v>
      </c>
      <c r="I44" s="260">
        <f>IF(OR(I$37&lt;1000,I$17&lt;=0),"",I$12/I$17)</f>
        <v>0.8152972828792534</v>
      </c>
      <c r="J44" s="260">
        <f>IF(OR(J$37&lt;1000,J$17&lt;=0),"",J$12/J$17)</f>
        <v>0.88756232953941505</v>
      </c>
      <c r="K44" s="260">
        <f>IF(OR(K$37&lt;1000,K$17&lt;=0),"",K$12/K$17)</f>
        <v>0.83434701491405361</v>
      </c>
      <c r="L44" s="311"/>
      <c r="M44" s="262">
        <f>IF(OR(M$37&lt;1000,M$17&lt;=0),"",M$12/M$17)</f>
        <v>0.85333031439316209</v>
      </c>
      <c r="N44" s="260">
        <f>IF(OR(N$37&lt;1000,N$17&lt;=0),"",N$12/N$17)</f>
        <v>0.84204493862674046</v>
      </c>
      <c r="O44" s="260">
        <f>IF(OR(O$37&lt;1000,O$17&lt;=0),"",O$12/O$17)</f>
        <v>0.84156960833875105</v>
      </c>
      <c r="P44" s="260">
        <f>IF(OR(P$37&lt;1000,P$17&lt;=0),"",P$12/P$17)</f>
        <v>0.84580659547645309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6.2350263596967197E-3</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0.86</v>
      </c>
      <c r="G47" s="311"/>
      <c r="H47" s="292"/>
      <c r="I47" s="288"/>
      <c r="J47" s="288"/>
      <c r="K47" s="260">
        <f>IF(K$44="","",ROUND(K$44+MAX(0,K$46),3))</f>
        <v>0.83399999999999996</v>
      </c>
      <c r="L47" s="311"/>
      <c r="M47" s="292"/>
      <c r="N47" s="288"/>
      <c r="O47" s="288"/>
      <c r="P47" s="260">
        <f>IF(P$44="","",ROUND(P$44+MAX(0,P$46),3))</f>
        <v>0.84599999999999997</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2031</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0.86</v>
      </c>
      <c r="G50" s="311"/>
      <c r="H50" s="293"/>
      <c r="I50" s="289"/>
      <c r="J50" s="289"/>
      <c r="K50" s="260">
        <f>K$47</f>
        <v>0.83399999999999996</v>
      </c>
      <c r="L50" s="311"/>
      <c r="M50" s="293"/>
      <c r="N50" s="289"/>
      <c r="O50" s="289"/>
      <c r="P50" s="260">
        <f>P$47</f>
        <v>0.84599999999999997</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58529527.446962491</v>
      </c>
      <c r="G51" s="311"/>
      <c r="H51" s="292"/>
      <c r="I51" s="288"/>
      <c r="J51" s="288"/>
      <c r="K51" s="115">
        <f>IF(K$37&lt;1000,"",MAX(0,J$15-J$16))</f>
        <v>168785043.51827565</v>
      </c>
      <c r="L51" s="311"/>
      <c r="M51" s="292"/>
      <c r="N51" s="288"/>
      <c r="O51" s="288"/>
      <c r="P51" s="115">
        <f>IF(P$37&lt;1000,"",MAX(0,O$15-O$16))</f>
        <v>214745288.99272591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IF(OR(P$37&lt;1000,P$17&lt;=0),0,MAX(0,P$49-P$50)*P$51)</f>
        <v>858981.15597090439</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450674.96165277646</v>
      </c>
      <c r="E55" s="288"/>
      <c r="F55" s="288"/>
      <c r="G55" s="311"/>
      <c r="H55" s="292"/>
      <c r="I55" s="110">
        <v>917967.10031138617</v>
      </c>
      <c r="J55" s="288"/>
      <c r="K55" s="288"/>
      <c r="L55" s="311"/>
      <c r="M55" s="292"/>
      <c r="N55" s="110">
        <v>987227.6042932641</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-16825.588669721463</v>
      </c>
      <c r="E56" s="288"/>
      <c r="F56" s="288"/>
      <c r="G56" s="311"/>
      <c r="H56" s="292"/>
      <c r="I56" s="110">
        <v>9442.7359261056808</v>
      </c>
      <c r="J56" s="288"/>
      <c r="K56" s="288"/>
      <c r="L56" s="311"/>
      <c r="M56" s="292"/>
      <c r="N56" s="110">
        <v>20376.609723823189</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14639</v>
      </c>
      <c r="D4" s="149">
        <f>'Pt 1 Summary of Data'!$K$56+'Pt 1 Summary of Data'!$M$56-'Pt 1 Summary of Data'!$N$56</f>
        <v>31093</v>
      </c>
      <c r="E4" s="149">
        <f>'Pt 1 Summary of Data'!$Q$56+'Pt 1 Summary of Data'!$S$56-'Pt 1 Summary of Data'!$T$56</f>
        <v>27908</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468</v>
      </c>
      <c r="F6" s="363"/>
      <c r="G6" s="123"/>
      <c r="H6" s="123"/>
      <c r="I6" s="363"/>
      <c r="J6" s="363"/>
      <c r="K6" s="372"/>
    </row>
    <row r="7" spans="2:11" x14ac:dyDescent="0.2">
      <c r="B7" s="155" t="s">
        <v>102</v>
      </c>
      <c r="C7" s="124"/>
      <c r="D7" s="126"/>
      <c r="E7" s="126">
        <v>2441</v>
      </c>
      <c r="F7" s="126"/>
      <c r="G7" s="126"/>
      <c r="H7" s="126"/>
      <c r="I7" s="374"/>
      <c r="J7" s="374"/>
      <c r="K7" s="209"/>
    </row>
    <row r="8" spans="2:11" x14ac:dyDescent="0.2">
      <c r="B8" s="155" t="s">
        <v>103</v>
      </c>
      <c r="C8" s="361"/>
      <c r="D8" s="126"/>
      <c r="E8" s="126">
        <v>1</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'Pt 3 MLR and Rebate Calculation'!$P$52</f>
        <v>858981.15597090439</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v>-0.19</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858981.16</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409885.43867455825</v>
      </c>
      <c r="E16" s="119">
        <v>766295.37417241081</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18332.350000000006</v>
      </c>
      <c r="E22" s="212">
        <v>9209.8399999999983</v>
      </c>
      <c r="F22" s="212"/>
      <c r="G22" s="212"/>
      <c r="H22" s="212"/>
      <c r="I22" s="359"/>
      <c r="J22" s="359"/>
      <c r="K22" s="368"/>
    </row>
    <row r="23" spans="2:12" s="5" customFormat="1" ht="100.15" customHeight="1" x14ac:dyDescent="0.2">
      <c r="B23" s="102" t="s">
        <v>212</v>
      </c>
      <c r="C23" s="381" t="s">
        <v>510</v>
      </c>
      <c r="D23" s="382"/>
      <c r="E23" s="382"/>
      <c r="F23" s="382"/>
      <c r="G23" s="382"/>
      <c r="H23" s="382"/>
      <c r="I23" s="382"/>
      <c r="J23" s="382"/>
      <c r="K23" s="383"/>
    </row>
    <row r="24" spans="2:12" s="5" customFormat="1" ht="100.15" customHeight="1" x14ac:dyDescent="0.2">
      <c r="B24" s="101" t="s">
        <v>213</v>
      </c>
      <c r="C24" s="384" t="s">
        <v>511</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