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X47" i="10"/>
  <c r="X50" i="10" s="1"/>
  <c r="AB46" i="10"/>
  <c r="AB45" i="10"/>
  <c r="AA45" i="10"/>
  <c r="AB38" i="10" s="1"/>
  <c r="Z45" i="10"/>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T13" i="10" s="1"/>
  <c r="P17" i="10"/>
  <c r="O17" i="10"/>
  <c r="N17" i="10"/>
  <c r="M17" i="10"/>
  <c r="AB16" i="10"/>
  <c r="AA16" i="10"/>
  <c r="X16" i="10"/>
  <c r="U13" i="10" s="1"/>
  <c r="W16" i="10"/>
  <c r="T16" i="10"/>
  <c r="S16" i="10"/>
  <c r="P16" i="10"/>
  <c r="O16" i="10"/>
  <c r="L16" i="10"/>
  <c r="K16" i="10"/>
  <c r="J16" i="10"/>
  <c r="G16" i="10"/>
  <c r="F16" i="10"/>
  <c r="E16" i="10"/>
  <c r="AB15" i="10"/>
  <c r="AA15" i="10"/>
  <c r="X15" i="10"/>
  <c r="W15" i="10"/>
  <c r="T15" i="10"/>
  <c r="S15" i="10"/>
  <c r="P15" i="10"/>
  <c r="O15" i="10"/>
  <c r="L15" i="10"/>
  <c r="AB13" i="10"/>
  <c r="AA13" i="10"/>
  <c r="Z13" i="10"/>
  <c r="Y13" i="10"/>
  <c r="X13" i="10"/>
  <c r="W13" i="10"/>
  <c r="V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B22" i="4" s="1"/>
  <c r="AA55" i="18"/>
  <c r="Z55" i="18"/>
  <c r="Y55" i="18"/>
  <c r="Y22" i="4" s="1"/>
  <c r="X55" i="18"/>
  <c r="X22" i="4" s="1"/>
  <c r="W55" i="18"/>
  <c r="W22" i="4" s="1"/>
  <c r="V55" i="18"/>
  <c r="V22" i="4" s="1"/>
  <c r="U55" i="18"/>
  <c r="U22" i="4" s="1"/>
  <c r="T55" i="18"/>
  <c r="S55" i="18"/>
  <c r="R55" i="18"/>
  <c r="Q55" i="18"/>
  <c r="P55" i="18"/>
  <c r="O55" i="18"/>
  <c r="N55" i="18"/>
  <c r="M55" i="18"/>
  <c r="M22" i="4" s="1"/>
  <c r="L55" i="18"/>
  <c r="L22" i="4" s="1"/>
  <c r="K55" i="18"/>
  <c r="K22" i="4" s="1"/>
  <c r="J55" i="18"/>
  <c r="J22" i="4" s="1"/>
  <c r="I55" i="18"/>
  <c r="H55" i="18"/>
  <c r="H22" i="4" s="1"/>
  <c r="G55" i="18"/>
  <c r="F55" i="18"/>
  <c r="E55" i="18"/>
  <c r="E22" i="4" s="1"/>
  <c r="D55" i="18"/>
  <c r="AU54" i="18"/>
  <c r="AU12" i="4" s="1"/>
  <c r="AT54" i="18"/>
  <c r="AS54" i="18"/>
  <c r="AC54" i="18"/>
  <c r="AB54" i="18"/>
  <c r="AB12" i="4" s="1"/>
  <c r="AA54" i="18"/>
  <c r="AA12" i="4" s="1"/>
  <c r="Z54" i="18"/>
  <c r="Y54" i="18"/>
  <c r="Y12" i="4" s="1"/>
  <c r="X54" i="18"/>
  <c r="X12" i="4" s="1"/>
  <c r="W54" i="18"/>
  <c r="V54" i="18"/>
  <c r="V12" i="4" s="1"/>
  <c r="U54" i="18"/>
  <c r="U12" i="4" s="1"/>
  <c r="T54" i="18"/>
  <c r="T12" i="4" s="1"/>
  <c r="S54" i="18"/>
  <c r="S12" i="4" s="1"/>
  <c r="R54" i="18"/>
  <c r="Q54" i="18"/>
  <c r="P54" i="18"/>
  <c r="P12" i="4" s="1"/>
  <c r="O54" i="18"/>
  <c r="N54" i="18"/>
  <c r="N12" i="4" s="1"/>
  <c r="M54" i="18"/>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A22" i="4"/>
  <c r="Z22" i="4"/>
  <c r="T22" i="4"/>
  <c r="S22" i="4"/>
  <c r="R22" i="4"/>
  <c r="Q22" i="4"/>
  <c r="P22" i="4"/>
  <c r="O22" i="4"/>
  <c r="N22" i="4"/>
  <c r="I22" i="4"/>
  <c r="G22" i="4"/>
  <c r="F22" i="4"/>
  <c r="D22" i="4"/>
  <c r="AT12" i="4"/>
  <c r="AS12" i="4"/>
  <c r="AC12" i="4"/>
  <c r="Z12" i="4"/>
  <c r="W12" i="4"/>
  <c r="R12" i="4"/>
  <c r="Q12" i="4"/>
  <c r="O12" i="4"/>
  <c r="M12" i="4"/>
  <c r="D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E15" i="10" s="1"/>
  <c r="D5" i="4"/>
  <c r="K15" i="10" l="1"/>
  <c r="G19" i="10"/>
  <c r="F15" i="10"/>
  <c r="G15" i="10"/>
  <c r="G29" i="10" s="1"/>
  <c r="J7" i="10"/>
  <c r="T38" i="10"/>
  <c r="T46" i="10"/>
  <c r="X38" i="10"/>
  <c r="P41" i="10"/>
  <c r="P46" i="10" s="1"/>
  <c r="P47" i="10" s="1"/>
  <c r="P50" i="10" s="1"/>
  <c r="P52" i="10" s="1"/>
  <c r="E11" i="16" s="1"/>
  <c r="L23" i="10"/>
  <c r="L27" i="10" s="1"/>
  <c r="R13" i="10"/>
  <c r="S13" i="10"/>
  <c r="E7" i="10"/>
  <c r="F7" i="10" l="1"/>
  <c r="E12" i="10"/>
  <c r="C17" i="10"/>
  <c r="E37" i="10"/>
  <c r="D17" i="10"/>
  <c r="D44" i="10" s="1"/>
  <c r="G20" i="10"/>
  <c r="G28" i="10"/>
  <c r="G21" i="10"/>
  <c r="G25" i="10"/>
  <c r="K7" i="10"/>
  <c r="I17" i="10"/>
  <c r="I44" i="10" s="1"/>
  <c r="J37" i="10"/>
  <c r="H17" i="10"/>
  <c r="H44" i="10" s="1"/>
  <c r="D12" i="10"/>
  <c r="F17" i="10"/>
  <c r="K17" i="10"/>
  <c r="C12" i="10"/>
  <c r="E17" i="10"/>
  <c r="J17" i="10"/>
  <c r="L26" i="10"/>
  <c r="L30" i="10" s="1"/>
  <c r="L31" i="10"/>
  <c r="L32" i="10" s="1"/>
  <c r="L33" i="10" s="1"/>
  <c r="G24" i="10"/>
  <c r="G23" i="10" s="1"/>
  <c r="G27" i="10" s="1"/>
  <c r="H12" i="10" l="1"/>
  <c r="J12" i="10"/>
  <c r="C44" i="10"/>
  <c r="F12" i="10"/>
  <c r="K37" i="10"/>
  <c r="J44" i="10"/>
  <c r="F37" i="10"/>
  <c r="E44" i="10"/>
  <c r="I12" i="10"/>
  <c r="G26" i="10"/>
  <c r="G30" i="10" s="1"/>
  <c r="G31" i="10"/>
  <c r="G32" i="10" s="1"/>
  <c r="G33" i="10" s="1"/>
  <c r="F52" i="10" l="1"/>
  <c r="C11" i="16" s="1"/>
  <c r="F44" i="10"/>
  <c r="F41" i="10"/>
  <c r="F51" i="10"/>
  <c r="F38" i="10"/>
  <c r="K38" i="10"/>
  <c r="K52" i="10"/>
  <c r="D11" i="16" s="1"/>
  <c r="K41" i="10"/>
  <c r="K51" i="10"/>
  <c r="K44" i="10"/>
  <c r="K12" i="10"/>
  <c r="K46" i="10" l="1"/>
  <c r="K47" i="10"/>
  <c r="K50" i="10" s="1"/>
  <c r="F46" i="10"/>
  <c r="F47" i="10"/>
  <c r="F50"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<sst xmlns="http://schemas.openxmlformats.org/spreadsheetml/2006/main" count="568" uniqueCount="506">
  <si>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</si>
  <si>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</si>
  <si>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</si>
  <si>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</si>
  <si>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</si>
  <si>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</si>
  <si>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</si>
  <si>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</si>
  <si>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</si>
  <si>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</si>
  <si>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</si>
  <si>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</si>
  <si>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</si>
  <si>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</si>
  <si>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</si>
  <si>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</si>
  <si>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</si>
  <si>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</si>
  <si>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</si>
  <si>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</si>
  <si>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</si>
  <si>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</si>
  <si>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</si>
  <si>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</si>
  <si>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</si>
  <si>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</si>
  <si>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</si>
  <si>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</si>
  <si>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</si>
  <si>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</si>
  <si>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</si>
  <si>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</si>
  <si>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</si>
  <si>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</si>
  <si>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</si>
  <si>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</si>
  <si>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</si>
  <si>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</si>
  <si>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</si>
  <si>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</si>
  <si>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</si>
  <si>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</si>
  <si>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</si>
  <si>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</si>
  <si>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</si>
  <si>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</si>
  <si>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</si>
  <si>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</si>
  <si>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</si>
  <si>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</si>
  <si>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</si>
  <si>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</si>
  <si>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</si>
  <si>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</si>
  <si>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</si>
  <si>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</si>
  <si>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</si>
  <si>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</si>
  <si>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</si>
  <si>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</si>
  <si>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</si>
  <si>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</si>
  <si>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</si>
  <si>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</si>
  <si>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</si>
  <si>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</si>
  <si>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</si>
  <si>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</si>
  <si>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</si>
  <si>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</si>
  <si>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</si>
  <si>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</si>
  <si>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</si>
  <si>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</si>
  <si>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</si>
  <si>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</si>
  <si>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</si>
  <si>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</si>
  <si>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</si>
  <si>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</si>
  <si>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</si>
  <si>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</si>
  <si>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</si>
  <si>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</si>
  <si>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</si>
  <si>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</si>
  <si>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</si>
  <si>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</si>
  <si>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</si>
  <si>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</si>
  <si>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</si>
  <si>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</si>
  <si>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</si>
  <si>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</si>
  <si>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</si>
  <si>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</si>
  <si>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</si>
  <si>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</si>
  <si>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</si>
  <si>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</si>
  <si>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</si>
  <si>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</si>
  <si>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</si>
  <si>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</si>
  <si>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</si>
  <si>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</si>
  <si>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</si>
  <si>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</si>
  <si>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</si>
  <si>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</si>
  <si>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</si>
  <si>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</si>
  <si>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</si>
  <si>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</si>
  <si>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</si>
  <si>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</si>
  <si>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</si>
  <si>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</si>
  <si>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</si>
  <si>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</si>
  <si>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</si>
  <si>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</si>
  <si>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</si>
  <si>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</si>
  <si>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</si>
  <si>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</si>
  <si>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</si>
  <si>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</si>
  <si>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</si>
  <si>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</si>
  <si>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</si>
  <si>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</si>
  <si>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</si>
  <si>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</si>
  <si>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</si>
  <si>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</si>
  <si>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</si>
  <si>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</si>
  <si>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</si>
  <si>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</si>
  <si>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</si>
  <si>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</si>
  <si>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</si>
  <si>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</si>
  <si>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</si>
  <si>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</si>
  <si>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</si>
  <si>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</si>
  <si>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</si>
  <si>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</si>
  <si>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</si>
  <si>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</si>
  <si>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</si>
  <si>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</si>
  <si>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</si>
  <si>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</si>
  <si>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</si>
  <si>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</si>
  <si>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</si>
  <si>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</si>
  <si>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</si>
  <si>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</si>
  <si>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</si>
  <si>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</si>
  <si>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</si>
  <si>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</si>
  <si>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</si>
  <si>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</si>
  <si>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</si>
  <si>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</si>
  <si>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</si>
  <si>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</si>
  <si>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</si>
  <si>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</si>
  <si>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</si>
  <si>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</si>
  <si>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</si>
  <si>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</si>
  <si>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</si>
  <si>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</si>
  <si>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</si>
  <si>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</si>
  <si>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</si>
  <si>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</si>
  <si>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</si>
  <si>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</si>
  <si>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</si>
  <si>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</si>
  <si>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</si>
  <si>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</si>
  <si>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</si>
  <si>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</si>
  <si>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</si>
  <si>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</si>
  <si>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</si>
  <si>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</si>
  <si>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</si>
  <si>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</si>
  <si>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</si>
  <si>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</si>
  <si>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</si>
  <si>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</si>
  <si>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</si>
  <si>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</si>
  <si>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</si>
  <si>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</si>
  <si>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</si>
  <si>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</si>
  <si>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</si>
  <si>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</si>
  <si>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</si>
  <si>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</si>
  <si>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</si>
  <si>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</si>
  <si>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</si>
  <si>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</si>
  <si>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</si>
  <si>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</si>
  <si>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</si>
  <si>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</si>
  <si>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</si>
  <si>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</si>
  <si>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</si>
  <si>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</si>
  <si>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</si>
  <si>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</si>
  <si>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</si>
  <si>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</si>
  <si>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</si>
  <si>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</si>
  <si>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</si>
  <si>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</si>
  <si>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</si>
  <si>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</si>
  <si>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</si>
  <si>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</si>
  <si>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</si>
  <si>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</si>
  <si>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</si>
  <si>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</si>
  <si>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</si>
  <si>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</si>
  <si>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</si>
  <si>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</si>
  <si>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</si>
  <si>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</si>
  <si>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</si>
  <si>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</si>
  <si>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</si>
  <si>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</si>
  <si>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</si>
  <si>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</si>
  <si>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</si>
  <si>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</si>
  <si>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</si>
  <si>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</si>
  <si>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</si>
  <si>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</si>
  <si>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</si>
  <si>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</si>
  <si>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</si>
  <si>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</si>
  <si>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</si>
  <si>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</si>
  <si>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</si>
  <si>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</si>
  <si>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</si>
  <si>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</si>
  <si>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</si>
  <si>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</si>
  <si>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</si>
  <si>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</si>
  <si>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</si>
  <si>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</si>
  <si>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</si>
  <si>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</si>
  <si>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</si>
  <si>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</si>
  <si>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</si>
  <si>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</si>
  <si>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</si>
  <si>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</si>
  <si>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</si>
  <si>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</si>
  <si>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</si>
  <si>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</si>
  <si>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</si>
  <si>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</si>
  <si>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</si>
  <si>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</si>
  <si>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</si>
  <si>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</si>
  <si>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</si>
  <si>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</si>
  <si>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</si>
  <si>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</si>
  <si>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</si>
  <si>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</si>
  <si>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</si>
  <si>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</si>
  <si>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</si>
  <si>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</si>
  <si>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</si>
  <si>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</si>
  <si>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</si>
  <si>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</si>
  <si>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</si>
  <si>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</si>
  <si>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</si>
  <si>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</si>
  <si>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</si>
  <si>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</si>
  <si>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</si>
  <si>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</si>
  <si>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</si>
  <si>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</si>
  <si>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</si>
  <si>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</si>
  <si>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</si>
  <si>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</si>
  <si>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</si>
  <si>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</si>
  <si>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</si>
  <si>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</si>
  <si>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</si>
  <si>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</si>
  <si>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</si>
  <si>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</si>
  <si>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</si>
  <si>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</si>
  <si>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</si>
  <si>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</si>
  <si>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</si>
  <si>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</si>
  <si>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</si>
  <si>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</si>
  <si>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</si>
  <si>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</si>
  <si>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</si>
  <si>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</si>
  <si>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</si>
  <si>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</si>
  <si>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</si>
  <si>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</si>
  <si>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</si>
  <si>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</si>
  <si>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</si>
  <si>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</si>
  <si>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</si>
  <si>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</si>
  <si>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</si>
  <si>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</si>
  <si>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</si>
  <si>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</si>
  <si>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</si>
  <si>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</si>
  <si>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</si>
  <si>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</si>
  <si>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</si>
  <si>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</si>
  <si>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</si>
  <si>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</si>
  <si>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</si>
  <si>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</si>
  <si>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</si>
  <si>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</si>
  <si>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</si>
  <si>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</si>
  <si>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</si>
  <si>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</si>
  <si>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</si>
  <si>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</si>
  <si>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</si>
  <si>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</si>
  <si>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</si>
  <si>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</si>
  <si>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</si>
  <si>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</si>
  <si>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</si>
  <si>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</si>
  <si>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</si>
  <si>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</si>
  <si>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</si>
  <si>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</si>
  <si>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</si>
  <si>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</si>
  <si>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</si>
  <si>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</si>
  <si>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</si>
  <si>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</si>
  <si>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</si>
  <si>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</si>
  <si>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</si>
  <si>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</si>
  <si>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</si>
  <si>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</si>
  <si>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</si>
  <si>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</si>
  <si>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</si>
  <si>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</si>
  <si>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</si>
  <si>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</si>
  <si>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</si>
  <si>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</si>
  <si>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</si>
  <si>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</si>
  <si>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</si>
  <si>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</si>
  <si>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</si>
  <si>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</si>
  <si>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</si>
  <si>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</si>
  <si>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</si>
  <si>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</si>
  <si>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</si>
  <si>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</si>
  <si>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</si>
  <si>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</si>
  <si>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</si>
  <si>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</si>
  <si>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</si>
  <si>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</si>
  <si>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</si>
  <si>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</si>
  <si>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</si>
  <si>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</si>
  <si>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</si>
  <si>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</si>
  <si>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</si>
  <si>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</si>
  <si>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</si>
  <si>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</si>
  <si>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</si>
  <si>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</si>
  <si>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</si>
  <si>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</si>
  <si>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</si>
  <si>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</si>
  <si>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</si>
  <si>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</si>
  <si>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</si>
  <si>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</si>
  <si>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</si>
  <si>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</si>
  <si>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</si>
  <si>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</si>
  <si>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</si>
  <si>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</si>
  <si>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</si>
  <si>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</si>
  <si>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</si>
  <si>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</si>
  <si>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</si>
  <si>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</si>
  <si>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</si>
  <si>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</si>
  <si>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</si>
  <si>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</si>
  <si>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</si>
  <si>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</si>
  <si>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</si>
  <si>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</si>
  <si>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</si>
  <si>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</si>
  <si>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</si>
  <si>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</si>
  <si>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</si>
  <si>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</si>
  <si>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</si>
  <si>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</si>
  <si>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</si>
  <si>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</si>
  <si>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</si>
  <si>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</si>
  <si>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</si>
  <si>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</si>
  <si>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</si>
  <si>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</si>
  <si>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</si>
  <si>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</si>
  <si>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</si>
  <si>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</si>
  <si>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</si>
  <si>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</si>
  <si>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</si>
  <si>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</si>
  <si>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</si>
  <si>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</si>
  <si>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</si>
  <si>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</si>
  <si>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</si>
  <si>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</si>
  <si>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</si>
  <si>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</si>
  <si>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</si>
  <si>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</si>
  <si>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</si>
  <si>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</si>
  <si>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</si>
  <si>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</si>
  <si>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</si>
  <si>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</si>
  <si>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</si>
  <si>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73889</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</si>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</sst>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164</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144103</v>
      </c>
      <c r="K5" s="106">
        <f>SUM('Pt 2 Premium and Claims'!K$5,'Pt 2 Premium and Claims'!K$6,-'Pt 2 Premium and Claims'!K$7,-'Pt 2 Premium and Claims'!K$13,'Pt 2 Premium and Claims'!K$14,'Pt 2 Premium and Claims'!K$16:'Pt 2 Premium and Claims'!K$17)</f>
        <v>144032.39000000001</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2613548</v>
      </c>
      <c r="Q5" s="106">
        <f>SUM('Pt 2 Premium and Claims'!Q$5,'Pt 2 Premium and Claims'!Q$6,-'Pt 2 Premium and Claims'!Q$7,-'Pt 2 Premium and Claims'!Q$13,'Pt 2 Premium and Claims'!Q$14)</f>
        <v>2638941.8299996001</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351419381</v>
      </c>
      <c r="AT5" s="107">
        <f>SUM('Pt 2 Premium and Claims'!AT$5,'Pt 2 Premium and Claims'!AT$6,-'Pt 2 Premium and Claims'!AT$7,-'Pt 2 Premium and Claims'!AT$13,'Pt 2 Premium and Claims'!AT$14)</f>
        <v>426195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-31</v>
      </c>
      <c r="K7" s="110">
        <v>-31</v>
      </c>
      <c r="L7" s="110"/>
      <c r="M7" s="110"/>
      <c r="N7" s="110"/>
      <c r="O7" s="109"/>
      <c r="P7" s="109">
        <v>-779</v>
      </c>
      <c r="Q7" s="110">
        <v>-779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-226</v>
      </c>
      <c r="K8" s="289"/>
      <c r="L8" s="290"/>
      <c r="M8" s="290"/>
      <c r="N8" s="290"/>
      <c r="O8" s="293"/>
      <c r="P8" s="109">
        <v>-4772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-91345</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92965</v>
      </c>
      <c r="K12" s="106">
        <f>'Pt 2 Premium and Claims'!K$54</f>
        <v>96677.179500000013</v>
      </c>
      <c r="L12" s="106">
        <f>'Pt 2 Premium and Claims'!L$54</f>
        <v>0</v>
      </c>
      <c r="M12" s="106">
        <f>'Pt 2 Premium and Claims'!M$54</f>
        <v>0</v>
      </c>
      <c r="N12" s="106">
        <f>'Pt 2 Premium and Claims'!N$54</f>
        <v>0</v>
      </c>
      <c r="O12" s="105">
        <f>'Pt 2 Premium and Claims'!O$54</f>
        <v>0</v>
      </c>
      <c r="P12" s="105">
        <f>'Pt 2 Premium and Claims'!P$54</f>
        <v>2576711</v>
      </c>
      <c r="Q12" s="106">
        <f>'Pt 2 Premium and Claims'!Q$54</f>
        <v>2674983.1038000002</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296616841</v>
      </c>
      <c r="AT12" s="107">
        <f>'Pt 2 Premium and Claims'!AT$54</f>
        <v>313500</v>
      </c>
      <c r="AU12" s="107">
        <f>'Pt 2 Premium and Claims'!AU$54</f>
        <v>0</v>
      </c>
      <c r="AV12" s="312"/>
      <c r="AW12" s="317"/>
    </row>
    <row r="13" spans="1:49" ht="25.5" x14ac:dyDescent="0.2">
      <c r="B13" s="155" t="s">
        <v>230</v>
      </c>
      <c r="C13" s="62" t="s">
        <v>37</v>
      </c>
      <c r="D13" s="109"/>
      <c r="E13" s="110"/>
      <c r="F13" s="110"/>
      <c r="G13" s="289"/>
      <c r="H13" s="290"/>
      <c r="I13" s="109"/>
      <c r="J13" s="109">
        <v>33269</v>
      </c>
      <c r="K13" s="110">
        <v>33255.64</v>
      </c>
      <c r="L13" s="110"/>
      <c r="M13" s="289"/>
      <c r="N13" s="290"/>
      <c r="O13" s="109"/>
      <c r="P13" s="109">
        <v>340763</v>
      </c>
      <c r="Q13" s="110">
        <v>339938.28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38710170</v>
      </c>
      <c r="AT13" s="113"/>
      <c r="AU13" s="113"/>
      <c r="AV13" s="311"/>
      <c r="AW13" s="318"/>
    </row>
    <row r="14" spans="1:49" ht="25.5" x14ac:dyDescent="0.2">
      <c r="B14" s="155" t="s">
        <v>231</v>
      </c>
      <c r="C14" s="62" t="s">
        <v>6</v>
      </c>
      <c r="D14" s="109"/>
      <c r="E14" s="110"/>
      <c r="F14" s="110"/>
      <c r="G14" s="288"/>
      <c r="H14" s="291"/>
      <c r="I14" s="109"/>
      <c r="J14" s="109">
        <v>5923</v>
      </c>
      <c r="K14" s="110">
        <v>5777.81</v>
      </c>
      <c r="L14" s="110"/>
      <c r="M14" s="288"/>
      <c r="N14" s="291"/>
      <c r="O14" s="109"/>
      <c r="P14" s="109">
        <v>35280</v>
      </c>
      <c r="Q14" s="110">
        <v>35367.87000000001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9593786</v>
      </c>
      <c r="AT14" s="113"/>
      <c r="AU14" s="113"/>
      <c r="AV14" s="311"/>
      <c r="AW14" s="318"/>
    </row>
    <row r="15" spans="1:49" ht="38.25" x14ac:dyDescent="0.2">
      <c r="B15" s="155" t="s">
        <v>232</v>
      </c>
      <c r="C15" s="62" t="s">
        <v>7</v>
      </c>
      <c r="D15" s="109"/>
      <c r="E15" s="110"/>
      <c r="F15" s="110"/>
      <c r="G15" s="288"/>
      <c r="H15" s="294"/>
      <c r="I15" s="109"/>
      <c r="J15" s="109">
        <v>2</v>
      </c>
      <c r="K15" s="110">
        <v>2</v>
      </c>
      <c r="L15" s="110"/>
      <c r="M15" s="288"/>
      <c r="N15" s="294"/>
      <c r="O15" s="109"/>
      <c r="P15" s="109">
        <v>40</v>
      </c>
      <c r="Q15" s="110">
        <v>40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5700</v>
      </c>
      <c r="AT15" s="113">
        <v>7</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54941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4702</v>
      </c>
      <c r="Q22" s="115">
        <f>'Pt 2 Premium and Claims'!Q$55</f>
        <v>4702</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5529931.0860000001</v>
      </c>
      <c r="AT25" s="113">
        <v>22901.643830000001</v>
      </c>
      <c r="AU25" s="113"/>
      <c r="AV25" s="113"/>
      <c r="AW25" s="318"/>
    </row>
    <row r="26" spans="1:49" s="5" customFormat="1" x14ac:dyDescent="0.2">
      <c r="A26" s="35"/>
      <c r="B26" s="158" t="s">
        <v>243</v>
      </c>
      <c r="C26" s="62"/>
      <c r="D26" s="109"/>
      <c r="E26" s="110"/>
      <c r="F26" s="110"/>
      <c r="G26" s="110"/>
      <c r="H26" s="110"/>
      <c r="I26" s="109"/>
      <c r="J26" s="109"/>
      <c r="K26" s="110">
        <v>39.81</v>
      </c>
      <c r="L26" s="110"/>
      <c r="M26" s="110"/>
      <c r="N26" s="110"/>
      <c r="O26" s="109"/>
      <c r="P26" s="109"/>
      <c r="Q26" s="110">
        <v>993.92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1314.83</v>
      </c>
      <c r="K27" s="110">
        <v>1314.83</v>
      </c>
      <c r="L27" s="110"/>
      <c r="M27" s="110"/>
      <c r="N27" s="110"/>
      <c r="O27" s="109"/>
      <c r="P27" s="109">
        <v>32799.79</v>
      </c>
      <c r="Q27" s="110">
        <v>32799.79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4360451.5199999996</v>
      </c>
      <c r="AT27" s="113">
        <v>5418.69</v>
      </c>
      <c r="AU27" s="113"/>
      <c r="AV27" s="314"/>
      <c r="AW27" s="318"/>
    </row>
    <row r="28" spans="1:49" s="5" customFormat="1" x14ac:dyDescent="0.2">
      <c r="A28" s="35"/>
      <c r="B28" s="158" t="s">
        <v>245</v>
      </c>
      <c r="C28" s="62"/>
      <c r="D28" s="109"/>
      <c r="E28" s="110"/>
      <c r="F28" s="110"/>
      <c r="G28" s="110"/>
      <c r="H28" s="110"/>
      <c r="I28" s="109"/>
      <c r="J28" s="109">
        <v>1235.2299999999998</v>
      </c>
      <c r="K28" s="110">
        <v>214.04</v>
      </c>
      <c r="L28" s="110"/>
      <c r="M28" s="110"/>
      <c r="N28" s="110"/>
      <c r="O28" s="109"/>
      <c r="P28" s="109">
        <v>30814.299999999996</v>
      </c>
      <c r="Q28" s="110">
        <v>5338.49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71401.97</v>
      </c>
      <c r="AT28" s="113">
        <v>125.69999999999999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11.649999999999999</v>
      </c>
      <c r="K30" s="110">
        <v>51.74</v>
      </c>
      <c r="L30" s="110"/>
      <c r="M30" s="110"/>
      <c r="N30" s="110"/>
      <c r="O30" s="109"/>
      <c r="P30" s="109">
        <v>290.78000000000003</v>
      </c>
      <c r="Q30" s="110">
        <v>1289.32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458703.99</v>
      </c>
      <c r="AT30" s="113">
        <v>1842.7149019999999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1170.82</v>
      </c>
      <c r="L34" s="110"/>
      <c r="M34" s="110"/>
      <c r="N34" s="110"/>
      <c r="O34" s="109"/>
      <c r="P34" s="109"/>
      <c r="Q34" s="110">
        <v>29208.42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58.34</v>
      </c>
      <c r="K35" s="110">
        <v>58.34</v>
      </c>
      <c r="L35" s="110"/>
      <c r="M35" s="110"/>
      <c r="N35" s="110"/>
      <c r="O35" s="109"/>
      <c r="P35" s="109">
        <v>1457.1799999999998</v>
      </c>
      <c r="Q35" s="110">
        <v>1457.1799999999998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188425.93</v>
      </c>
      <c r="AT35" s="113">
        <v>397.94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272</v>
      </c>
      <c r="K37" s="118">
        <v>271.72000000000003</v>
      </c>
      <c r="L37" s="118"/>
      <c r="M37" s="118"/>
      <c r="N37" s="118"/>
      <c r="O37" s="117"/>
      <c r="P37" s="117">
        <v>6790</v>
      </c>
      <c r="Q37" s="118">
        <v>6789.5199999999995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2752356</v>
      </c>
      <c r="AT37" s="119"/>
      <c r="AU37" s="119"/>
      <c r="AV37" s="119"/>
      <c r="AW37" s="317"/>
    </row>
    <row r="38" spans="1:49" x14ac:dyDescent="0.2">
      <c r="B38" s="155" t="s">
        <v>255</v>
      </c>
      <c r="C38" s="62" t="s">
        <v>16</v>
      </c>
      <c r="D38" s="109"/>
      <c r="E38" s="110"/>
      <c r="F38" s="110"/>
      <c r="G38" s="110"/>
      <c r="H38" s="110"/>
      <c r="I38" s="109"/>
      <c r="J38" s="109">
        <v>122</v>
      </c>
      <c r="K38" s="110">
        <v>122.42000000000002</v>
      </c>
      <c r="L38" s="110"/>
      <c r="M38" s="110"/>
      <c r="N38" s="110"/>
      <c r="O38" s="109"/>
      <c r="P38" s="109">
        <v>3055</v>
      </c>
      <c r="Q38" s="110">
        <v>3054.61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1205738</v>
      </c>
      <c r="AT38" s="113"/>
      <c r="AU38" s="113"/>
      <c r="AV38" s="113"/>
      <c r="AW38" s="318"/>
    </row>
    <row r="39" spans="1:49" x14ac:dyDescent="0.2">
      <c r="B39" s="158" t="s">
        <v>256</v>
      </c>
      <c r="C39" s="62" t="s">
        <v>17</v>
      </c>
      <c r="D39" s="109"/>
      <c r="E39" s="110"/>
      <c r="F39" s="110"/>
      <c r="G39" s="110"/>
      <c r="H39" s="110"/>
      <c r="I39" s="109"/>
      <c r="J39" s="109">
        <v>86</v>
      </c>
      <c r="K39" s="110">
        <v>86.27</v>
      </c>
      <c r="L39" s="110"/>
      <c r="M39" s="110"/>
      <c r="N39" s="110"/>
      <c r="O39" s="109"/>
      <c r="P39" s="109">
        <v>2164</v>
      </c>
      <c r="Q39" s="110">
        <v>2164.35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734620</v>
      </c>
      <c r="AT39" s="113"/>
      <c r="AU39" s="113"/>
      <c r="AV39" s="113"/>
      <c r="AW39" s="318"/>
    </row>
    <row r="40" spans="1:49" x14ac:dyDescent="0.2">
      <c r="B40" s="158" t="s">
        <v>257</v>
      </c>
      <c r="C40" s="62" t="s">
        <v>38</v>
      </c>
      <c r="D40" s="109"/>
      <c r="E40" s="110"/>
      <c r="F40" s="110"/>
      <c r="G40" s="110"/>
      <c r="H40" s="110"/>
      <c r="I40" s="109"/>
      <c r="J40" s="109">
        <v>1219</v>
      </c>
      <c r="K40" s="110">
        <v>1218.68</v>
      </c>
      <c r="L40" s="110"/>
      <c r="M40" s="110"/>
      <c r="N40" s="110"/>
      <c r="O40" s="109"/>
      <c r="P40" s="109">
        <v>30420</v>
      </c>
      <c r="Q40" s="110">
        <v>30419.99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2789261</v>
      </c>
      <c r="AT40" s="113">
        <v>19</v>
      </c>
      <c r="AU40" s="113"/>
      <c r="AV40" s="113"/>
      <c r="AW40" s="318"/>
    </row>
    <row r="41" spans="1:49" s="5" customFormat="1" ht="25.5" x14ac:dyDescent="0.2">
      <c r="A41" s="35"/>
      <c r="B41" s="158" t="s">
        <v>258</v>
      </c>
      <c r="C41" s="62" t="s">
        <v>129</v>
      </c>
      <c r="D41" s="109"/>
      <c r="E41" s="110"/>
      <c r="F41" s="110"/>
      <c r="G41" s="110"/>
      <c r="H41" s="110"/>
      <c r="I41" s="109"/>
      <c r="J41" s="109">
        <v>78</v>
      </c>
      <c r="K41" s="110">
        <v>77.88</v>
      </c>
      <c r="L41" s="110"/>
      <c r="M41" s="110"/>
      <c r="N41" s="110"/>
      <c r="O41" s="109"/>
      <c r="P41" s="109">
        <v>1986</v>
      </c>
      <c r="Q41" s="110">
        <v>1985.6799999999998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240248</v>
      </c>
      <c r="AT41" s="113">
        <v>524</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1562</v>
      </c>
      <c r="K44" s="118">
        <v>1562</v>
      </c>
      <c r="L44" s="118"/>
      <c r="M44" s="118"/>
      <c r="N44" s="118"/>
      <c r="O44" s="117"/>
      <c r="P44" s="117">
        <v>38984</v>
      </c>
      <c r="Q44" s="118">
        <v>38984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3167407</v>
      </c>
      <c r="AT44" s="119">
        <v>2169</v>
      </c>
      <c r="AU44" s="119"/>
      <c r="AV44" s="119"/>
      <c r="AW44" s="317"/>
    </row>
    <row r="45" spans="1:49" x14ac:dyDescent="0.2">
      <c r="B45" s="161" t="s">
        <v>262</v>
      </c>
      <c r="C45" s="62" t="s">
        <v>19</v>
      </c>
      <c r="D45" s="109"/>
      <c r="E45" s="110"/>
      <c r="F45" s="110"/>
      <c r="G45" s="110"/>
      <c r="H45" s="110"/>
      <c r="I45" s="109"/>
      <c r="J45" s="109">
        <v>910</v>
      </c>
      <c r="K45" s="110">
        <v>910</v>
      </c>
      <c r="L45" s="110"/>
      <c r="M45" s="110"/>
      <c r="N45" s="110"/>
      <c r="O45" s="109"/>
      <c r="P45" s="109">
        <v>22724</v>
      </c>
      <c r="Q45" s="110">
        <v>22724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1746557</v>
      </c>
      <c r="AT45" s="113">
        <v>2362</v>
      </c>
      <c r="AU45" s="113"/>
      <c r="AV45" s="113"/>
      <c r="AW45" s="318"/>
    </row>
    <row r="46" spans="1:49" x14ac:dyDescent="0.2">
      <c r="B46" s="161" t="s">
        <v>263</v>
      </c>
      <c r="C46" s="62" t="s">
        <v>20</v>
      </c>
      <c r="D46" s="109"/>
      <c r="E46" s="110"/>
      <c r="F46" s="110"/>
      <c r="G46" s="110"/>
      <c r="H46" s="110"/>
      <c r="I46" s="109"/>
      <c r="J46" s="109">
        <v>726</v>
      </c>
      <c r="K46" s="110">
        <v>726</v>
      </c>
      <c r="L46" s="110"/>
      <c r="M46" s="110"/>
      <c r="N46" s="110"/>
      <c r="O46" s="109"/>
      <c r="P46" s="109">
        <v>18119</v>
      </c>
      <c r="Q46" s="110">
        <v>18119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4108928</v>
      </c>
      <c r="AT46" s="113">
        <v>8508</v>
      </c>
      <c r="AU46" s="113"/>
      <c r="AV46" s="113"/>
      <c r="AW46" s="318"/>
    </row>
    <row r="47" spans="1:49" x14ac:dyDescent="0.2">
      <c r="B47" s="161" t="s">
        <v>264</v>
      </c>
      <c r="C47" s="62" t="s">
        <v>21</v>
      </c>
      <c r="D47" s="109"/>
      <c r="E47" s="110"/>
      <c r="F47" s="110"/>
      <c r="G47" s="110"/>
      <c r="H47" s="110"/>
      <c r="I47" s="109"/>
      <c r="J47" s="109">
        <v>1951</v>
      </c>
      <c r="K47" s="110">
        <v>1951</v>
      </c>
      <c r="L47" s="110"/>
      <c r="M47" s="110"/>
      <c r="N47" s="110"/>
      <c r="O47" s="109"/>
      <c r="P47" s="109">
        <v>48666</v>
      </c>
      <c r="Q47" s="110">
        <v>48666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4705138</v>
      </c>
      <c r="AT47" s="113">
        <v>584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240.28</v>
      </c>
      <c r="K49" s="110">
        <v>10.75</v>
      </c>
      <c r="L49" s="110"/>
      <c r="M49" s="110"/>
      <c r="N49" s="110"/>
      <c r="O49" s="109"/>
      <c r="P49" s="109">
        <v>35984.270000000004</v>
      </c>
      <c r="Q49" s="110">
        <v>30259.200000000001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-400534.58999999997</v>
      </c>
      <c r="AT49" s="113">
        <v>-4220.0049019999988</v>
      </c>
      <c r="AU49" s="113"/>
      <c r="AV49" s="113"/>
      <c r="AW49" s="318"/>
    </row>
    <row r="50" spans="2:49" ht="25.5" x14ac:dyDescent="0.2">
      <c r="B50" s="155" t="s">
        <v>266</v>
      </c>
      <c r="C50" s="62"/>
      <c r="D50" s="109"/>
      <c r="E50" s="110"/>
      <c r="F50" s="110"/>
      <c r="G50" s="110"/>
      <c r="H50" s="110"/>
      <c r="I50" s="109"/>
      <c r="J50" s="109">
        <v>3.17</v>
      </c>
      <c r="K50" s="110">
        <v>3.17</v>
      </c>
      <c r="L50" s="110"/>
      <c r="M50" s="110"/>
      <c r="N50" s="110"/>
      <c r="O50" s="109"/>
      <c r="P50" s="109">
        <v>86.97999999999999</v>
      </c>
      <c r="Q50" s="110">
        <v>86.97999999999999</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11179.91</v>
      </c>
      <c r="AT50" s="113">
        <v>19.150000000000002</v>
      </c>
      <c r="AU50" s="113"/>
      <c r="AV50" s="113"/>
      <c r="AW50" s="318"/>
    </row>
    <row r="51" spans="2:49" x14ac:dyDescent="0.2">
      <c r="B51" s="155" t="s">
        <v>267</v>
      </c>
      <c r="C51" s="62"/>
      <c r="D51" s="109"/>
      <c r="E51" s="110"/>
      <c r="F51" s="110"/>
      <c r="G51" s="110"/>
      <c r="H51" s="110"/>
      <c r="I51" s="109"/>
      <c r="J51" s="109">
        <v>6234</v>
      </c>
      <c r="K51" s="110">
        <v>6234</v>
      </c>
      <c r="L51" s="110"/>
      <c r="M51" s="110"/>
      <c r="N51" s="110"/>
      <c r="O51" s="109"/>
      <c r="P51" s="109">
        <v>155518</v>
      </c>
      <c r="Q51" s="110">
        <v>155518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18257733</v>
      </c>
      <c r="AT51" s="113">
        <v>38207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7</v>
      </c>
      <c r="K56" s="122">
        <v>5</v>
      </c>
      <c r="L56" s="122"/>
      <c r="M56" s="122"/>
      <c r="N56" s="122"/>
      <c r="O56" s="121"/>
      <c r="P56" s="121">
        <v>227</v>
      </c>
      <c r="Q56" s="122">
        <v>222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1588</v>
      </c>
      <c r="AT56" s="123">
        <v>2219</v>
      </c>
      <c r="AU56" s="123"/>
      <c r="AV56" s="123"/>
      <c r="AW56" s="309"/>
    </row>
    <row r="57" spans="2:49" x14ac:dyDescent="0.2">
      <c r="B57" s="161" t="s">
        <v>273</v>
      </c>
      <c r="C57" s="62" t="s">
        <v>25</v>
      </c>
      <c r="D57" s="124"/>
      <c r="E57" s="125"/>
      <c r="F57" s="125"/>
      <c r="G57" s="125"/>
      <c r="H57" s="125"/>
      <c r="I57" s="124"/>
      <c r="J57" s="124">
        <v>11</v>
      </c>
      <c r="K57" s="125">
        <v>11</v>
      </c>
      <c r="L57" s="125"/>
      <c r="M57" s="125"/>
      <c r="N57" s="125"/>
      <c r="O57" s="124"/>
      <c r="P57" s="124">
        <v>462</v>
      </c>
      <c r="Q57" s="125">
        <v>460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37014</v>
      </c>
      <c r="AT57" s="126">
        <v>2219</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13</v>
      </c>
      <c r="AT58" s="126"/>
      <c r="AU58" s="126"/>
      <c r="AV58" s="126"/>
      <c r="AW58" s="310"/>
    </row>
    <row r="59" spans="2:49" x14ac:dyDescent="0.2">
      <c r="B59" s="161" t="s">
        <v>275</v>
      </c>
      <c r="C59" s="62" t="s">
        <v>27</v>
      </c>
      <c r="D59" s="124"/>
      <c r="E59" s="125"/>
      <c r="F59" s="125"/>
      <c r="G59" s="125"/>
      <c r="H59" s="125"/>
      <c r="I59" s="124"/>
      <c r="J59" s="124">
        <v>223</v>
      </c>
      <c r="K59" s="125">
        <v>223</v>
      </c>
      <c r="L59" s="125"/>
      <c r="M59" s="125"/>
      <c r="N59" s="125"/>
      <c r="O59" s="124"/>
      <c r="P59" s="124">
        <v>5563</v>
      </c>
      <c r="Q59" s="125">
        <v>5649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433426</v>
      </c>
      <c r="AT59" s="126">
        <v>25871</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18.583333333333332</v>
      </c>
      <c r="K60" s="128">
        <f t="shared" si="0"/>
        <v>18.583333333333332</v>
      </c>
      <c r="L60" s="128">
        <f t="shared" si="0"/>
        <v>0</v>
      </c>
      <c r="M60" s="128">
        <f t="shared" si="0"/>
        <v>0</v>
      </c>
      <c r="N60" s="128">
        <f t="shared" si="0"/>
        <v>0</v>
      </c>
      <c r="O60" s="127">
        <f t="shared" si="0"/>
        <v>0</v>
      </c>
      <c r="P60" s="127">
        <f t="shared" si="0"/>
        <v>463.58333333333331</v>
      </c>
      <c r="Q60" s="128">
        <f t="shared" si="0"/>
        <v>470.75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36118.833333333336</v>
      </c>
      <c r="AT60" s="129">
        <f>AT$59/12</f>
        <v>2155.9166666666665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-19081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-14795543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144103</v>
      </c>
      <c r="K5" s="118">
        <v>144032.39000000001</v>
      </c>
      <c r="L5" s="118"/>
      <c r="M5" s="118"/>
      <c r="N5" s="118"/>
      <c r="O5" s="117"/>
      <c r="P5" s="117">
        <v>2613548</v>
      </c>
      <c r="Q5" s="118">
        <v>2638941.8299996001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351419381</v>
      </c>
      <c r="AT5" s="119">
        <v>426195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-5617811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-5639498</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94706</v>
      </c>
      <c r="K23" s="288"/>
      <c r="L23" s="288"/>
      <c r="M23" s="288"/>
      <c r="N23" s="288"/>
      <c r="O23" s="292"/>
      <c r="P23" s="109">
        <v>2454251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292335583</v>
      </c>
      <c r="AT23" s="113">
        <v>304799</v>
      </c>
      <c r="AU23" s="113"/>
      <c r="AV23" s="311"/>
      <c r="AW23" s="318"/>
    </row>
    <row r="24" spans="2:49" ht="28.5" customHeight="1" x14ac:dyDescent="0.2">
      <c r="B24" s="178" t="s">
        <v>114</v>
      </c>
      <c r="C24" s="133"/>
      <c r="D24" s="293"/>
      <c r="E24" s="110"/>
      <c r="F24" s="110"/>
      <c r="G24" s="110"/>
      <c r="H24" s="110"/>
      <c r="I24" s="109"/>
      <c r="J24" s="293"/>
      <c r="K24" s="110">
        <v>101122.08</v>
      </c>
      <c r="L24" s="110"/>
      <c r="M24" s="110"/>
      <c r="N24" s="110"/>
      <c r="O24" s="109"/>
      <c r="P24" s="293"/>
      <c r="Q24" s="110">
        <v>2589214.3100000005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9992</v>
      </c>
      <c r="K26" s="288"/>
      <c r="L26" s="288"/>
      <c r="M26" s="288"/>
      <c r="N26" s="288"/>
      <c r="O26" s="292"/>
      <c r="P26" s="109">
        <v>281437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33678476</v>
      </c>
      <c r="AT26" s="113">
        <v>20110</v>
      </c>
      <c r="AU26" s="113"/>
      <c r="AV26" s="311"/>
      <c r="AW26" s="318"/>
    </row>
    <row r="27" spans="2:49" s="5" customFormat="1" ht="25.5" x14ac:dyDescent="0.2">
      <c r="B27" s="178" t="s">
        <v>85</v>
      </c>
      <c r="C27" s="133"/>
      <c r="D27" s="293"/>
      <c r="E27" s="110"/>
      <c r="F27" s="110"/>
      <c r="G27" s="110"/>
      <c r="H27" s="110"/>
      <c r="I27" s="109"/>
      <c r="J27" s="293"/>
      <c r="K27" s="110">
        <v>1227.3895000000089</v>
      </c>
      <c r="L27" s="110"/>
      <c r="M27" s="110"/>
      <c r="N27" s="110"/>
      <c r="O27" s="109"/>
      <c r="P27" s="293"/>
      <c r="Q27" s="110">
        <v>55955.493800000047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11684</v>
      </c>
      <c r="K28" s="289"/>
      <c r="L28" s="289"/>
      <c r="M28" s="289"/>
      <c r="N28" s="289"/>
      <c r="O28" s="293"/>
      <c r="P28" s="109">
        <v>155337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28414183</v>
      </c>
      <c r="AT28" s="113">
        <v>11409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36</v>
      </c>
      <c r="K30" s="288"/>
      <c r="L30" s="288"/>
      <c r="M30" s="288"/>
      <c r="N30" s="288"/>
      <c r="O30" s="292"/>
      <c r="P30" s="109">
        <v>1317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35.520000000000003</v>
      </c>
      <c r="L31" s="110"/>
      <c r="M31" s="110"/>
      <c r="N31" s="110"/>
      <c r="O31" s="109"/>
      <c r="P31" s="293"/>
      <c r="Q31" s="110">
        <v>906.17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85</v>
      </c>
      <c r="K32" s="289"/>
      <c r="L32" s="289"/>
      <c r="M32" s="289"/>
      <c r="N32" s="289"/>
      <c r="O32" s="293"/>
      <c r="P32" s="109">
        <v>325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58766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-5617811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-5639498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7693</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v>5777.81</v>
      </c>
      <c r="L49" s="110"/>
      <c r="M49" s="110"/>
      <c r="N49" s="110"/>
      <c r="O49" s="109"/>
      <c r="P49" s="109">
        <v>-2262</v>
      </c>
      <c r="Q49" s="110">
        <v>35367.87000000001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2492340</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-6894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1436545</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70</v>
      </c>
      <c r="L53" s="110"/>
      <c r="M53" s="110"/>
      <c r="N53" s="110"/>
      <c r="O53" s="109"/>
      <c r="P53" s="109"/>
      <c r="Q53" s="110">
        <v>64275</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92965</v>
      </c>
      <c r="K54" s="115">
        <f>K24+K27+K31+K35-K36+K39+K42+K45+K46-K49+K51+K52+K53</f>
        <v>96677.179500000013</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2576711</v>
      </c>
      <c r="Q54" s="115">
        <f>Q24+Q27+Q31+Q35-Q36+Q39+Q42+Q45+Q46-Q49+Q51+Q52+Q53</f>
        <v>2674983.1038000002</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296616841</v>
      </c>
      <c r="AT54" s="116">
        <f>AT23+AT26-AT28+AT30-AT32+AT34-AT36+AT38+AT41-AT43+AT45+AT46-AT47-AT49+AT50+AT51+AT52+AT53</f>
        <v>313500</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4702</v>
      </c>
      <c r="Q55" s="115">
        <f t="shared" si="0"/>
        <v>4702</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v>202</v>
      </c>
      <c r="K56" s="110">
        <v>202</v>
      </c>
      <c r="L56" s="110"/>
      <c r="M56" s="110"/>
      <c r="N56" s="110"/>
      <c r="O56" s="109"/>
      <c r="P56" s="109">
        <v>5046</v>
      </c>
      <c r="Q56" s="110">
        <v>5046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v>4702</v>
      </c>
      <c r="Q57" s="110">
        <v>4702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1725108</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221689.30000000002</v>
      </c>
      <c r="I5" s="118">
        <v>164319.76160000003</v>
      </c>
      <c r="J5" s="346"/>
      <c r="K5" s="346"/>
      <c r="L5" s="312"/>
      <c r="M5" s="117">
        <v>1981954.2</v>
      </c>
      <c r="N5" s="118">
        <v>2003037.1945999998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230133.03000000009</v>
      </c>
      <c r="I6" s="110">
        <v>161780.72440000001</v>
      </c>
      <c r="J6" s="115">
        <f>SUM('Pt 1 Summary of Data'!K$12,'Pt 1 Summary of Data'!K$22)+SUM('Pt 1 Summary of Data'!M$12,'Pt 1 Summary of Data'!M$22)-SUM('Pt 1 Summary of Data'!N$12,'Pt 1 Summary of Data'!N$22)</f>
        <v>96677.179500000013</v>
      </c>
      <c r="K6" s="115">
        <f>SUM(H6:J6)</f>
        <v>488590.93390000012</v>
      </c>
      <c r="L6" s="116">
        <f>SUM('Pt 1 Summary of Data'!O$12,'Pt 1 Summary of Data'!O$22)</f>
        <v>0</v>
      </c>
      <c r="M6" s="109">
        <v>2037652.4399999995</v>
      </c>
      <c r="N6" s="110">
        <v>1991398.2576000001</v>
      </c>
      <c r="O6" s="115">
        <f>SUM('Pt 1 Summary of Data'!Q$12,'Pt 1 Summary of Data'!Q$22)+SUM('Pt 1 Summary of Data'!S$12,'Pt 1 Summary of Data'!S$22)-SUM('Pt 1 Summary of Data'!T$12,'Pt 1 Summary of Data'!T$22)</f>
        <v>2679685.1038000002</v>
      </c>
      <c r="P6" s="115">
        <f>SUM(M6:O6)</f>
        <v>6708735.8014000002</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23434.899999999998</v>
      </c>
      <c r="I7" s="110">
        <v>11434.789999999999</v>
      </c>
      <c r="J7" s="115">
        <f>SUM('Pt 1 Summary of Data'!K$37:K$41)+SUM('Pt 1 Summary of Data'!M$37:M$41)-SUM('Pt 1 Summary of Data'!N$37:N$41)+MAX(0,MIN('Pt 1 Summary of Data'!K$42+'Pt 1 Summary of Data'!M$42-'Pt 1 Summary of Data'!N$42,0.3%*('Pt 1 Summary of Data'!K$5+'Pt 1 Summary of Data'!M$5-'Pt 1 Summary of Data'!N$5-SUM(J$10:J$11))))</f>
        <v>1776.9700000000003</v>
      </c>
      <c r="K7" s="115">
        <f>SUM(H7:J7)</f>
        <v>36646.659999999996</v>
      </c>
      <c r="L7" s="116">
        <f>SUM('Pt 1 Summary of Data'!O$37:O$41)+MAX(0,MIN('Pt 1 Summary of Data'!O$42,0.3%*('Pt 1 Summary of Data'!O$5-L$10)))</f>
        <v>0</v>
      </c>
      <c r="M7" s="109">
        <v>66157.200000000012</v>
      </c>
      <c r="N7" s="110">
        <v>38577.270000000004</v>
      </c>
      <c r="O7" s="115">
        <f>SUM('Pt 1 Summary of Data'!Q$37:Q$41)+SUM('Pt 1 Summary of Data'!S$37:S$41)-SUM('Pt 1 Summary of Data'!T$37:T$41)+MAX(0,MIN('Pt 1 Summary of Data'!Q$42+'Pt 1 Summary of Data'!S$42-'Pt 1 Summary of Data'!T$42,0.3%*('Pt 1 Summary of Data'!Q$5+'Pt 1 Summary of Data'!S$5-'Pt 1 Summary of Data'!T$5)))</f>
        <v>44414.15</v>
      </c>
      <c r="P7" s="115">
        <f>SUM(M7:O7)</f>
        <v>149148.62000000002</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253567.93000000008</v>
      </c>
      <c r="I12" s="115">
        <f>SUM(I$6:I$7)+IF(AND(OR('Company Information'!$C$12="District of Columbia",'Company Information'!$C$12="Massachusetts",'Company Information'!$C$12="Vermont"),SUM($H$6:$K$11,$H$15:$K$16,$H$37:$I$37)&lt;&gt;0),SUM(D$6:D$7),0)</f>
        <v>173215.51440000001</v>
      </c>
      <c r="J12" s="115">
        <f>SUM(J$6:J$7)-SUM(J$10:J$11)+IF(AND(OR('Company Information'!$C$12="District of Columbia",'Company Information'!$C$12="Massachusetts",'Company Information'!$C$12="Vermont"),SUM($H$6:$K$11,$H$15:$K$16,$H$37:$I$37)&lt;&gt;0),SUM(E$6:E$7)-SUM(E$8:E$11),0)</f>
        <v>98454.149500000014</v>
      </c>
      <c r="K12" s="115">
        <f>IFERROR(SUM(H$12:J$12)+H$17*MAX(0,J$49-H$49)+I$17*MAX(0,J$49-I$49),0)</f>
        <v>525237.59390000009</v>
      </c>
      <c r="L12" s="311"/>
      <c r="M12" s="114">
        <f>SUM(M$6:M$7)</f>
        <v>2103809.6399999997</v>
      </c>
      <c r="N12" s="115">
        <f>SUM(N$6:N$7)</f>
        <v>2029975.5276000001</v>
      </c>
      <c r="O12" s="115">
        <f>SUM(O$6:O$7)</f>
        <v>2724099.2538000001</v>
      </c>
      <c r="P12" s="115">
        <f>SUM(M$12:O$12)+M$17*MAX(0,O$49-M$49)+N$17*MAX(0,O$49-N$49)</f>
        <v>6857884.4213999994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352774.21</v>
      </c>
      <c r="I15" s="118">
        <v>301006.84971470002</v>
      </c>
      <c r="J15" s="106">
        <f>SUM('Pt 1 Summary of Data'!K$5:K$7)+SUM('Pt 1 Summary of Data'!M$5:M$7)-SUM('Pt 1 Summary of Data'!N$5:N$7)-SUM(J$10:J$11)+I$55</f>
        <v>144757.23028500003</v>
      </c>
      <c r="K15" s="106">
        <f>SUM(H15:J15)</f>
        <v>798538.28999970015</v>
      </c>
      <c r="L15" s="107">
        <f>SUM('Pt 1 Summary of Data'!O$5:O$7)-L$10</f>
        <v>0</v>
      </c>
      <c r="M15" s="117">
        <v>3217000.81</v>
      </c>
      <c r="N15" s="118">
        <v>2545668.1596518038</v>
      </c>
      <c r="O15" s="106">
        <f>SUM('Pt 1 Summary of Data'!Q$5:Q$7)+SUM('Pt 1 Summary of Data'!S$5:S$7)-SUM('Pt 1 Summary of Data'!T$5:T$7)+N$55</f>
        <v>2639246.0503479964</v>
      </c>
      <c r="P15" s="106">
        <f>SUM(M15:O15)</f>
        <v>8401915.0199998002</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18553</v>
      </c>
      <c r="I16" s="110">
        <v>48892.235343891829</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2972.3446561081701</v>
      </c>
      <c r="K16" s="115">
        <f>SUM(H16:J16)</f>
        <v>70417.58</v>
      </c>
      <c r="L16" s="116">
        <f>SUM('Pt 1 Summary of Data'!O$25:O$28,'Pt 1 Summary of Data'!O$30,'Pt 1 Summary of Data'!O$34:O$35)+IF('Company Information'!$C$15="No",IF(MAX('Pt 1 Summary of Data'!O$31:O$32)=0,MIN('Pt 1 Summary of Data'!O$31:O$32),MAX('Pt 1 Summary of Data'!O$31:O$32)),SUM('Pt 1 Summary of Data'!O$31:O$32))</f>
        <v>0</v>
      </c>
      <c r="M16" s="109">
        <v>176948</v>
      </c>
      <c r="N16" s="110">
        <v>187638.16226414236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71166.95773585765</v>
      </c>
      <c r="P16" s="115">
        <f>SUM(M16:O16)</f>
        <v>435753.12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334221.21000000002</v>
      </c>
      <c r="I17" s="115">
        <f>I$15-I$16+IF(AND(OR('Company Information'!$C$12="District of Columbia",'Company Information'!$C$12="Massachusetts",'Company Information'!$C$12="Vermont"),SUM($H$6:$K$11,$H$15:$K$16,$H$37:$I$37)&lt;&gt;0),D$15-D$16,0)</f>
        <v>252114.61437080818</v>
      </c>
      <c r="J17" s="115">
        <f>J$15-J$16+IF(AND(OR('Company Information'!$C$12="District of Columbia",'Company Information'!$C$12="Massachusetts",'Company Information'!$C$12="Vermont"),SUM($H$6:$K$11,$H$15:$K$16,$H$37:$I$37)&lt;&gt;0),E$15-E$16,0)</f>
        <v>141784.88562889185</v>
      </c>
      <c r="K17" s="115">
        <f>K$15-K$16+IF(AND(OR('Company Information'!$C$12="District of Columbia",'Company Information'!$C$12="Massachusetts",'Company Information'!$C$12="Vermont"),SUM($H$6:$K$11,$H$15:$K$16,$H$37:$I$37)&lt;&gt;0),F$15-F$16,0)</f>
        <v>728120.70999970019</v>
      </c>
      <c r="L17" s="314"/>
      <c r="M17" s="114">
        <f>M$15-M$16</f>
        <v>3040052.81</v>
      </c>
      <c r="N17" s="115">
        <f>N$15-N$16</f>
        <v>2358029.9973876616</v>
      </c>
      <c r="O17" s="115">
        <f>O$15-O$16</f>
        <v>2568079.0926121389</v>
      </c>
      <c r="P17" s="115">
        <f>P$15-P$16</f>
        <v>7966161.8999998001</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62.25</v>
      </c>
      <c r="I37" s="122">
        <v>40</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18.583333333333332</v>
      </c>
      <c r="K37" s="256">
        <f>SUM(H$37:J$37)+IF(AND(OR('Company Information'!$C$12="District of Columbia",'Company Information'!$C$12="Massachusetts",'Company Information'!$C$12="Vermont"),SUM($H$6:$K$11,$H$15:$K$16,$H$37:$I$37)&lt;&gt;0,SUM(H$37:I$37)&lt;&gt;SUM(C$37:D$37)),SUM(C$37:D$37),0)</f>
        <v>120.83333333333333</v>
      </c>
      <c r="L37" s="312"/>
      <c r="M37" s="121">
        <v>629.75</v>
      </c>
      <c r="N37" s="122">
        <v>474</v>
      </c>
      <c r="O37" s="256">
        <f>('Pt 1 Summary of Data'!Q$59+'Pt 1 Summary of Data'!S$59-'Pt 1 Summary of Data'!T$59)/12</f>
        <v>470.75</v>
      </c>
      <c r="P37" s="256">
        <f>SUM(M$37:O$37)</f>
        <v>1574.5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7.1126999999999996E-2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7.1126999999999996E-2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f>IF(OR(P$37&lt;1000,P$17&lt;=0),"",P$12/P$17)</f>
        <v>0.86087685732324515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f ca="1">IF(P$44="","",P$41)</f>
        <v>7.1126999999999996E-2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f ca="1">IF(P$44="","",ROUND(P$44+MAX(0,P$46),3))</f>
        <v>0.93200000000000005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2038</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f ca="1">P$47</f>
        <v>0.93200000000000005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f>IF(P$37&lt;1000,"",MAX(0,O$15-O$16))</f>
        <v>2568079.0926121389</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755.84028499999999</v>
      </c>
      <c r="J55" s="288"/>
      <c r="K55" s="288"/>
      <c r="L55" s="311"/>
      <c r="M55" s="292"/>
      <c r="N55" s="110">
        <v>1083.2203483962714</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122.76465610817</v>
      </c>
      <c r="J56" s="288"/>
      <c r="K56" s="288"/>
      <c r="L56" s="311"/>
      <c r="M56" s="292"/>
      <c r="N56" s="110">
        <v>79.837735857653541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5</v>
      </c>
      <c r="E4" s="149">
        <f>'Pt 1 Summary of Data'!$Q$56+'Pt 1 Summary of Data'!$S$56-'Pt 1 Summary of Data'!$T$56</f>
        <v>222</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