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6" i="18" l="1"/>
  <c r="X49" i="10" l="1"/>
  <c r="W49" i="10"/>
  <c r="V49" i="10"/>
  <c r="U49" i="10"/>
  <c r="T49" i="10"/>
  <c r="S49" i="10"/>
  <c r="T38" i="10" s="1"/>
  <c r="R49" i="10"/>
  <c r="Q49" i="10"/>
  <c r="H11" i="16"/>
  <c r="H4" i="16"/>
  <c r="G4" i="16"/>
  <c r="F4" i="16"/>
  <c r="E4" i="16"/>
  <c r="D4" i="16"/>
  <c r="C4" i="16"/>
  <c r="AB52" i="10"/>
  <c r="X52" i="10"/>
  <c r="G11" i="16" s="1"/>
  <c r="T52" i="10"/>
  <c r="F11" i="16" s="1"/>
  <c r="AB51" i="10"/>
  <c r="X51" i="10"/>
  <c r="T51" i="10"/>
  <c r="P51" i="10"/>
  <c r="AB50" i="10"/>
  <c r="AB47" i="10"/>
  <c r="AB46" i="10"/>
  <c r="AB45" i="10"/>
  <c r="AA45" i="10"/>
  <c r="Z45" i="10"/>
  <c r="Y45" i="10"/>
  <c r="X45" i="10"/>
  <c r="X47" i="10" s="1"/>
  <c r="X50" i="10" s="1"/>
  <c r="W45" i="10"/>
  <c r="V45" i="10"/>
  <c r="U45" i="10"/>
  <c r="T45" i="10"/>
  <c r="T47" i="10" s="1"/>
  <c r="T50" i="10" s="1"/>
  <c r="S45" i="10"/>
  <c r="R45" i="10"/>
  <c r="Q45" i="10"/>
  <c r="P44" i="10"/>
  <c r="O44" i="10"/>
  <c r="P38" i="10" s="1"/>
  <c r="N44" i="10"/>
  <c r="M44" i="10"/>
  <c r="AB41" i="10"/>
  <c r="X41" i="10"/>
  <c r="T41" i="10"/>
  <c r="AB40" i="10"/>
  <c r="X40" i="10"/>
  <c r="T40" i="10"/>
  <c r="P40" i="10"/>
  <c r="K40" i="10"/>
  <c r="F40" i="10"/>
  <c r="AB38" i="10"/>
  <c r="AB37" i="10"/>
  <c r="AA37" i="10"/>
  <c r="X37" i="10"/>
  <c r="W37" i="10"/>
  <c r="T37" i="10"/>
  <c r="S37" i="10"/>
  <c r="P37" i="10"/>
  <c r="O37" i="10"/>
  <c r="L29" i="10"/>
  <c r="L28" i="10"/>
  <c r="L25" i="10"/>
  <c r="L21" i="10"/>
  <c r="L20" i="10"/>
  <c r="L19" i="10"/>
  <c r="L24" i="10" s="1"/>
  <c r="L23" i="10" s="1"/>
  <c r="L27" i="10" s="1"/>
  <c r="AB17" i="10"/>
  <c r="AA17" i="10"/>
  <c r="Z17" i="10"/>
  <c r="Y17" i="10"/>
  <c r="X17" i="10"/>
  <c r="W17" i="10"/>
  <c r="V17" i="10"/>
  <c r="U17" i="10"/>
  <c r="T17" i="10"/>
  <c r="S17" i="10"/>
  <c r="R17" i="10"/>
  <c r="Q17" i="10"/>
  <c r="P17" i="10"/>
  <c r="O17" i="10"/>
  <c r="N17" i="10"/>
  <c r="M17" i="10"/>
  <c r="AB16" i="10"/>
  <c r="AA16" i="10"/>
  <c r="X16" i="10"/>
  <c r="W16" i="10"/>
  <c r="T16" i="10"/>
  <c r="Q13" i="10" s="1"/>
  <c r="S16" i="10"/>
  <c r="P16" i="10"/>
  <c r="O16" i="10"/>
  <c r="L16" i="10"/>
  <c r="K16" i="10"/>
  <c r="J16" i="10"/>
  <c r="G16" i="10"/>
  <c r="F16" i="10"/>
  <c r="E16" i="10"/>
  <c r="AB15" i="10"/>
  <c r="AA15" i="10"/>
  <c r="X15" i="10"/>
  <c r="W15" i="10"/>
  <c r="T15" i="10"/>
  <c r="S15" i="10"/>
  <c r="P15" i="10"/>
  <c r="O15" i="10"/>
  <c r="L15" i="10"/>
  <c r="AB13" i="10"/>
  <c r="AA13" i="10"/>
  <c r="Z13" i="10"/>
  <c r="Y13" i="10"/>
  <c r="V13" i="10"/>
  <c r="R13" i="10"/>
  <c r="P12" i="10"/>
  <c r="O12" i="10"/>
  <c r="N12" i="10"/>
  <c r="M12" i="10"/>
  <c r="K11" i="10"/>
  <c r="J11" i="10"/>
  <c r="F11" i="10"/>
  <c r="E11" i="10"/>
  <c r="L10" i="10"/>
  <c r="J10" i="10"/>
  <c r="K10" i="10" s="1"/>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U22" i="4" s="1"/>
  <c r="T55" i="18"/>
  <c r="S55" i="18"/>
  <c r="R55" i="18"/>
  <c r="Q55" i="18"/>
  <c r="Q22" i="4" s="1"/>
  <c r="P55" i="18"/>
  <c r="O55" i="18"/>
  <c r="N55" i="18"/>
  <c r="M55" i="18"/>
  <c r="L55" i="18"/>
  <c r="K55" i="18"/>
  <c r="J55" i="18"/>
  <c r="I55" i="18"/>
  <c r="H55" i="18"/>
  <c r="G55" i="18"/>
  <c r="F55" i="18"/>
  <c r="E55" i="18"/>
  <c r="D55" i="18"/>
  <c r="AU54" i="18"/>
  <c r="AU12" i="4" s="1"/>
  <c r="AT54" i="18"/>
  <c r="AT12" i="4" s="1"/>
  <c r="AS54" i="18"/>
  <c r="AC54" i="18"/>
  <c r="AB54" i="18"/>
  <c r="AA54" i="18"/>
  <c r="Z54" i="18"/>
  <c r="Y54" i="18"/>
  <c r="X54" i="18"/>
  <c r="W54" i="18"/>
  <c r="V54" i="18"/>
  <c r="U54" i="18"/>
  <c r="T54" i="18"/>
  <c r="T12" i="4" s="1"/>
  <c r="S54" i="18"/>
  <c r="R54" i="18"/>
  <c r="Q54" i="18"/>
  <c r="P54" i="18"/>
  <c r="O54" i="18"/>
  <c r="N54" i="18"/>
  <c r="N12" i="4" s="1"/>
  <c r="M54" i="18"/>
  <c r="L54" i="18"/>
  <c r="L12" i="4" s="1"/>
  <c r="K54" i="18"/>
  <c r="J54" i="18"/>
  <c r="I54" i="18"/>
  <c r="H54" i="18"/>
  <c r="H12" i="4" s="1"/>
  <c r="G54" i="18"/>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T22" i="4"/>
  <c r="S22" i="4"/>
  <c r="R22" i="4"/>
  <c r="P22" i="4"/>
  <c r="O22" i="4"/>
  <c r="N22" i="4"/>
  <c r="M22" i="4"/>
  <c r="L22" i="4"/>
  <c r="K22" i="4"/>
  <c r="J22" i="4"/>
  <c r="I22" i="4"/>
  <c r="H22" i="4"/>
  <c r="G22" i="4"/>
  <c r="F22" i="4"/>
  <c r="E22" i="4"/>
  <c r="D22" i="4"/>
  <c r="AS12" i="4"/>
  <c r="AC12" i="4"/>
  <c r="AB12" i="4"/>
  <c r="AA12" i="4"/>
  <c r="Z12" i="4"/>
  <c r="Y12" i="4"/>
  <c r="X12" i="4"/>
  <c r="W12" i="4"/>
  <c r="V12" i="4"/>
  <c r="U12" i="4"/>
  <c r="S12" i="4"/>
  <c r="R12" i="4"/>
  <c r="Q12" i="4"/>
  <c r="P12" i="4"/>
  <c r="O12" i="4"/>
  <c r="M12" i="4"/>
  <c r="K12" i="4"/>
  <c r="J12" i="4"/>
  <c r="I12" i="4"/>
  <c r="G12" i="4"/>
  <c r="F12" i="4"/>
  <c r="E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J7" i="10" l="1"/>
  <c r="K7" i="10" s="1"/>
  <c r="K15" i="10"/>
  <c r="F15" i="10"/>
  <c r="E7" i="10"/>
  <c r="G7" i="10"/>
  <c r="G25" i="10" s="1"/>
  <c r="L31" i="10"/>
  <c r="L32" i="10" s="1"/>
  <c r="L33" i="10" s="1"/>
  <c r="L26" i="10"/>
  <c r="L30" i="10" s="1"/>
  <c r="G29" i="10"/>
  <c r="G21" i="10"/>
  <c r="G20" i="10"/>
  <c r="X46" i="10"/>
  <c r="T46" i="10"/>
  <c r="X38" i="10"/>
  <c r="P41" i="10"/>
  <c r="P46" i="10" s="1"/>
  <c r="P47" i="10" s="1"/>
  <c r="P50" i="10" s="1"/>
  <c r="P52" i="10" s="1"/>
  <c r="E11" i="16" s="1"/>
  <c r="T13" i="10"/>
  <c r="U13" i="10"/>
  <c r="W13" i="10"/>
  <c r="S13" i="10"/>
  <c r="X13" i="10"/>
  <c r="K17" i="10" l="1"/>
  <c r="I12" i="10"/>
  <c r="I17" i="10"/>
  <c r="I44" i="10" s="1"/>
  <c r="H17" i="10"/>
  <c r="H44" i="10" s="1"/>
  <c r="F7" i="10"/>
  <c r="E12" i="10" s="1"/>
  <c r="D12" i="10"/>
  <c r="C17" i="10"/>
  <c r="C44" i="10" s="1"/>
  <c r="E37" i="10"/>
  <c r="J17" i="10"/>
  <c r="J37" i="10"/>
  <c r="H12" i="10"/>
  <c r="J12" i="10"/>
  <c r="G19" i="10"/>
  <c r="G24" i="10" s="1"/>
  <c r="G23" i="10" s="1"/>
  <c r="C12" i="10"/>
  <c r="F17" i="10"/>
  <c r="G28" i="10"/>
  <c r="G27" i="10"/>
  <c r="F37" i="10" l="1"/>
  <c r="F12" i="10"/>
  <c r="K12" i="10"/>
  <c r="K37" i="10"/>
  <c r="J44" i="10"/>
  <c r="D17" i="10"/>
  <c r="D44" i="10" s="1"/>
  <c r="E17" i="10"/>
  <c r="E44" i="10" s="1"/>
  <c r="G26" i="10"/>
  <c r="G30" i="10" s="1"/>
  <c r="G31" i="10"/>
  <c r="G32" i="10" s="1"/>
  <c r="G33" i="10" s="1"/>
  <c r="F38" i="10" l="1"/>
  <c r="K51" i="10"/>
  <c r="K44" i="10"/>
  <c r="K38" i="10"/>
  <c r="K41" i="10" s="1"/>
  <c r="K46" i="10" s="1"/>
  <c r="K47" i="10" s="1"/>
  <c r="K50" i="10" s="1"/>
  <c r="K52" i="10" s="1"/>
  <c r="D11" i="16" s="1"/>
  <c r="F44" i="10"/>
  <c r="F51" i="10"/>
  <c r="F52" i="10"/>
  <c r="C11" i="16" s="1"/>
  <c r="F41" i="10"/>
  <c r="F47" i="10" l="1"/>
  <c r="F50" i="10" s="1"/>
  <c r="F46"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<sst xmlns="http://schemas.openxmlformats.org/spreadsheetml/2006/main" count="570" uniqueCount="508">
  <si>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</si>
  <si>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</si>
  <si>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</si>
  <si>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</si>
  <si>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</si>
  <si>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</si>
  <si>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</si>
  <si>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</si>
  <si>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</si>
  <si>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</si>
  <si>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</si>
  <si>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</si>
  <si>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</si>
  <si>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</si>
  <si>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</si>
  <si>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</si>
  <si>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</si>
  <si>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</si>
  <si>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</si>
  <si>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</si>
  <si>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</si>
  <si>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</si>
  <si>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</si>
  <si>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</si>
  <si>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</si>
  <si>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</si>
  <si>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</si>
  <si>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</si>
  <si>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</si>
  <si>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</si>
  <si>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</si>
  <si>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</si>
  <si>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</si>
  <si>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</si>
  <si>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</si>
  <si>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</si>
  <si>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</si>
  <si>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</si>
  <si>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</si>
  <si>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</si>
  <si>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</si>
  <si>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</si>
  <si>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</si>
  <si>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</si>
  <si>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</si>
  <si>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</si>
  <si>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</si>
  <si>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</si>
  <si>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</si>
  <si>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</si>
  <si>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</si>
  <si>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</si>
  <si>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</si>
  <si>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</si>
  <si>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</si>
  <si>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</si>
  <si>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</si>
  <si>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</si>
  <si>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</si>
  <si>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</si>
  <si>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</si>
  <si>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</si>
  <si>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</si>
  <si>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</si>
  <si>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</si>
  <si>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</si>
  <si>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</si>
  <si>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</si>
  <si>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</si>
  <si>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</si>
  <si>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</si>
  <si>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</si>
  <si>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</si>
  <si>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</si>
  <si>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</si>
  <si>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</si>
  <si>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</si>
  <si>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</si>
  <si>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</si>
  <si>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</si>
  <si>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</si>
  <si>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</si>
  <si>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</si>
  <si>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</si>
  <si>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</si>
  <si>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</si>
  <si>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</si>
  <si>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</si>
  <si>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</si>
  <si>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</si>
  <si>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</si>
  <si>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</si>
  <si>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</si>
  <si>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</si>
  <si>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</si>
  <si>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</si>
  <si>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</si>
  <si>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</si>
  <si>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</si>
  <si>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</si>
  <si>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</si>
  <si>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</si>
  <si>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</si>
  <si>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</si>
  <si>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</si>
  <si>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</si>
  <si>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</si>
  <si>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</si>
  <si>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</si>
  <si>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</si>
  <si>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</si>
  <si>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</si>
  <si>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</si>
  <si>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</si>
  <si>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</si>
  <si>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</si>
  <si>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</si>
  <si>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</si>
  <si>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</si>
  <si>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</si>
  <si>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</si>
  <si>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</si>
  <si>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</si>
  <si>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</si>
  <si>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</si>
  <si>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</si>
  <si>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</si>
  <si>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</si>
  <si>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</si>
  <si>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</si>
  <si>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</si>
  <si>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</si>
  <si>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</si>
  <si>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</si>
  <si>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</si>
  <si>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</si>
  <si>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</si>
  <si>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</si>
  <si>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</si>
  <si>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</si>
  <si>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</si>
  <si>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</si>
  <si>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</si>
  <si>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</si>
  <si>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</si>
  <si>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</si>
  <si>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</si>
  <si>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</si>
  <si>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</si>
  <si>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</si>
  <si>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</si>
  <si>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</si>
  <si>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</si>
  <si>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</si>
  <si>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</si>
  <si>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</si>
  <si>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</si>
  <si>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</si>
  <si>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</si>
  <si>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</si>
  <si>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</si>
  <si>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</si>
  <si>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</si>
  <si>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</si>
  <si>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</si>
  <si>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</si>
  <si>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</si>
  <si>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</si>
  <si>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</si>
  <si>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</si>
  <si>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</si>
  <si>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</si>
  <si>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</si>
  <si>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</si>
  <si>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</si>
  <si>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</si>
  <si>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</si>
  <si>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</si>
  <si>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</si>
  <si>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</si>
  <si>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</si>
  <si>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</si>
  <si>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</si>
  <si>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</si>
  <si>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</si>
  <si>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</si>
  <si>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</si>
  <si>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</si>
  <si>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</si>
  <si>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</si>
  <si>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</si>
  <si>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</si>
  <si>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</si>
  <si>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</si>
  <si>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</si>
  <si>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</si>
  <si>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</si>
  <si>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</si>
  <si>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</si>
  <si>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</si>
  <si>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</si>
  <si>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</si>
  <si>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</si>
  <si>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</si>
  <si>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</si>
  <si>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</si>
  <si>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</si>
  <si>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</si>
  <si>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</si>
  <si>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</si>
  <si>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</si>
  <si>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</si>
  <si>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</si>
  <si>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</si>
  <si>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</si>
  <si>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</si>
  <si>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</si>
  <si>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</si>
  <si>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</si>
  <si>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</si>
  <si>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</si>
  <si>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</si>
  <si>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</si>
  <si>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</si>
  <si>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</si>
  <si>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</si>
  <si>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</si>
  <si>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</si>
  <si>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</si>
  <si>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</si>
  <si>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</si>
  <si>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</si>
  <si>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</si>
  <si>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</si>
  <si>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</si>
  <si>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</si>
  <si>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</si>
  <si>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</si>
  <si>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</si>
  <si>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</si>
  <si>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</si>
  <si>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</si>
  <si>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</si>
  <si>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</si>
  <si>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</si>
  <si>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</si>
  <si>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</si>
  <si>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</si>
  <si>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</si>
  <si>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</si>
  <si>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</si>
  <si>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</si>
  <si>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</si>
  <si>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</si>
  <si>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</si>
  <si>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</si>
  <si>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</si>
  <si>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</si>
  <si>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</si>
  <si>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</si>
  <si>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</si>
  <si>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</si>
  <si>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</si>
  <si>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</si>
  <si>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</si>
  <si>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</si>
  <si>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</si>
  <si>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</si>
  <si>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</si>
  <si>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</si>
  <si>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</si>
  <si>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</si>
  <si>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</si>
  <si>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</si>
  <si>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</si>
  <si>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</si>
  <si>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</si>
  <si>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</si>
  <si>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</si>
  <si>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</si>
  <si>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</si>
  <si>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</si>
  <si>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</si>
  <si>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</si>
  <si>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</si>
  <si>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</si>
  <si>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</si>
  <si>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</si>
  <si>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</si>
  <si>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</si>
  <si>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</si>
  <si>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</si>
  <si>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</si>
  <si>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</si>
  <si>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</si>
  <si>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</si>
  <si>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</si>
  <si>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</si>
  <si>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</si>
  <si>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</si>
  <si>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</si>
  <si>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</si>
  <si>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</si>
  <si>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</si>
  <si>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</si>
  <si>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</si>
  <si>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</si>
  <si>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</si>
  <si>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</si>
  <si>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</si>
  <si>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</si>
  <si>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</si>
  <si>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</si>
  <si>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</si>
  <si>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</si>
  <si>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</si>
  <si>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</si>
  <si>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</si>
  <si>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</si>
  <si>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</si>
  <si>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</si>
  <si>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</si>
  <si>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</si>
  <si>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</si>
  <si>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</si>
  <si>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</si>
  <si>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</si>
  <si>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</si>
  <si>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</si>
  <si>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</si>
  <si>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</si>
  <si>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</si>
  <si>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</si>
  <si>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</si>
  <si>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</si>
  <si>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</si>
  <si>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</si>
  <si>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</si>
  <si>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</si>
  <si>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</si>
  <si>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</si>
  <si>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</si>
  <si>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</si>
  <si>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</si>
  <si>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</si>
  <si>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</si>
  <si>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</si>
  <si>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</si>
  <si>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</si>
  <si>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</si>
  <si>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</si>
  <si>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</si>
  <si>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</si>
  <si>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</si>
  <si>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</si>
  <si>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</si>
  <si>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</si>
  <si>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</si>
  <si>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</si>
  <si>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</si>
  <si>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</si>
  <si>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</si>
  <si>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</si>
  <si>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</si>
  <si>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</si>
  <si>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</si>
  <si>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</si>
  <si>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</si>
  <si>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</si>
  <si>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</si>
  <si>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</si>
  <si>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</si>
  <si>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</si>
  <si>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</si>
  <si>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</si>
  <si>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</si>
  <si>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</si>
  <si>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</si>
  <si>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</si>
  <si>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</si>
  <si>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</si>
  <si>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</si>
  <si>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</si>
  <si>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</si>
  <si>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</si>
  <si>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</si>
  <si>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</si>
  <si>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</si>
  <si>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</si>
  <si>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</si>
  <si>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</si>
  <si>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</si>
  <si>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</si>
  <si>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</si>
  <si>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</si>
  <si>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</si>
  <si>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</si>
  <si>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</si>
  <si>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</si>
  <si>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</si>
  <si>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</si>
  <si>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</si>
  <si>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</si>
  <si>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</si>
  <si>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</si>
  <si>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</si>
  <si>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</si>
  <si>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</si>
  <si>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</si>
  <si>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</si>
  <si>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</si>
  <si>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</si>
  <si>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</si>
  <si>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</si>
  <si>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</si>
  <si>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</si>
  <si>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</si>
  <si>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</si>
  <si>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</si>
  <si>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</si>
  <si>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</si>
  <si>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</si>
  <si>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</si>
  <si>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</si>
  <si>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</si>
  <si>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</si>
  <si>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</si>
  <si>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</si>
  <si>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</si>
  <si>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</si>
  <si>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</si>
  <si>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</si>
  <si>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</si>
  <si>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</si>
  <si>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</si>
  <si>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</si>
  <si>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</si>
  <si>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</si>
  <si>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</si>
  <si>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</si>
  <si>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</si>
  <si>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</si>
  <si>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</si>
  <si>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</si>
  <si>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</si>
  <si>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</si>
  <si>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</si>
  <si>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</si>
  <si>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</si>
  <si>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</si>
  <si>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</si>
  <si>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</si>
  <si>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</si>
  <si>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</si>
  <si>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</si>
  <si>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</si>
  <si>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</si>
  <si>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</si>
  <si>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</si>
  <si>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</si>
  <si>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</si>
  <si>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</si>
  <si>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</si>
  <si>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</si>
  <si>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</si>
  <si>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</si>
  <si>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</si>
  <si>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</si>
  <si>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</si>
  <si>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</si>
  <si>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</si>
  <si>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</si>
  <si>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</si>
  <si>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</si>
  <si>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</si>
  <si>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</si>
  <si>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</si>
  <si>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</si>
  <si>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</si>
  <si>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</si>
  <si>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</si>
  <si>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</si>
  <si>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</si>
  <si>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</si>
  <si>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</si>
  <si>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</si>
  <si>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</si>
  <si>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</si>
  <si>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</si>
  <si>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</si>
  <si>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</si>
  <si>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</si>
  <si>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</si>
  <si>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</si>
  <si>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</si>
  <si>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</si>
  <si>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</si>
  <si>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</si>
  <si>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</si>
  <si>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</si>
  <si>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</si>
  <si>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</si>
  <si>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</si>
  <si>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93696</t>
  </si>
  <si>
    <t>215</t>
  </si>
  <si>
    <t>Humana Insurance Company</t>
  </si>
  <si>
    <t>Humana Employers Health Plan of Georgia, Inc.</t>
  </si>
  <si>
    <t>Humana Health Plan of Texas,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</si>
</sst>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174</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2317186</v>
      </c>
      <c r="K5" s="106">
        <f>SUM('Pt 2 Premium and Claims'!K$5,'Pt 2 Premium and Claims'!K$6,-'Pt 2 Premium and Claims'!K$7,-'Pt 2 Premium and Claims'!K$13,'Pt 2 Premium and Claims'!K$14,'Pt 2 Premium and Claims'!K$16:'Pt 2 Premium and Claims'!K$17)</f>
        <v>2717103.8765334999</v>
      </c>
      <c r="L5" s="106">
        <f>SUM('Pt 2 Premium and Claims'!L$5,'Pt 2 Premium and Claims'!L$6,-'Pt 2 Premium and Claims'!L$7,-'Pt 2 Premium and Claims'!L$13,'Pt 2 Premium and Claims'!L$14,'Pt 2 Premium and Claims'!L$16:'Pt 2 Premium and Claims'!L$17)</f>
        <v>665975.32000000007</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1361376</v>
      </c>
      <c r="Q5" s="106">
        <f>SUM('Pt 2 Premium and Claims'!Q$5,'Pt 2 Premium and Claims'!Q$6,-'Pt 2 Premium and Claims'!Q$7,-'Pt 2 Premium and Claims'!Q$13,'Pt 2 Premium and Claims'!Q$14)</f>
        <v>2219190.2471895004</v>
      </c>
      <c r="R5" s="106">
        <f>SUM('Pt 2 Premium and Claims'!R$5,'Pt 2 Premium and Claims'!R$6,-'Pt 2 Premium and Claims'!R$7,-'Pt 2 Premium and Claims'!R$13,'Pt 2 Premium and Claims'!R$14)</f>
        <v>626632.34</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518730563</v>
      </c>
      <c r="AT5" s="107">
        <f>SUM('Pt 2 Premium and Claims'!AT$5,'Pt 2 Premium and Claims'!AT$6,-'Pt 2 Premium and Claims'!AT$7,-'Pt 2 Premium and Claims'!AT$13,'Pt 2 Premium and Claims'!AT$14)</f>
        <v>1032284.0000000001</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v>-397</v>
      </c>
      <c r="K7" s="110">
        <v>-1152.2014210146463</v>
      </c>
      <c r="L7" s="110">
        <v>-755.20142101464626</v>
      </c>
      <c r="M7" s="110"/>
      <c r="N7" s="110"/>
      <c r="O7" s="109"/>
      <c r="P7" s="109">
        <v>-380</v>
      </c>
      <c r="Q7" s="110">
        <v>-1305.6716679987703</v>
      </c>
      <c r="R7" s="110">
        <v>-925.67166799877043</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-5145</v>
      </c>
      <c r="K8" s="289"/>
      <c r="L8" s="290"/>
      <c r="M8" s="290"/>
      <c r="N8" s="290"/>
      <c r="O8" s="293"/>
      <c r="P8" s="109">
        <v>-2817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1951284</v>
      </c>
      <c r="K12" s="106">
        <f>'Pt 2 Premium and Claims'!K$54</f>
        <v>2632532.9898554026</v>
      </c>
      <c r="L12" s="106">
        <f>'Pt 2 Premium and Claims'!L$54</f>
        <v>583638.63919999998</v>
      </c>
      <c r="M12" s="106">
        <f>'Pt 2 Premium and Claims'!M$54</f>
        <v>0</v>
      </c>
      <c r="N12" s="106">
        <f>'Pt 2 Premium and Claims'!N$54</f>
        <v>0</v>
      </c>
      <c r="O12" s="105">
        <f>'Pt 2 Premium and Claims'!O$54</f>
        <v>0</v>
      </c>
      <c r="P12" s="105">
        <f>'Pt 2 Premium and Claims'!P$54</f>
        <v>1785977</v>
      </c>
      <c r="Q12" s="106">
        <f>'Pt 2 Premium and Claims'!Q$54</f>
        <v>2039768.2453445974</v>
      </c>
      <c r="R12" s="106">
        <f>'Pt 2 Premium and Claims'!R$54</f>
        <v>638138.2317</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442828493</v>
      </c>
      <c r="AT12" s="107">
        <f>'Pt 2 Premium and Claims'!AT$54</f>
        <v>981817</v>
      </c>
      <c r="AU12" s="107">
        <f>'Pt 2 Premium and Claims'!AU$54</f>
        <v>0</v>
      </c>
      <c r="AV12" s="312"/>
      <c r="AW12" s="317"/>
    </row>
    <row r="13" spans="1:49" ht="25.5" x14ac:dyDescent="0.2">
      <c r="B13" s="155" t="s">
        <v>230</v>
      </c>
      <c r="C13" s="62" t="s">
        <v>37</v>
      </c>
      <c r="D13" s="109"/>
      <c r="E13" s="110"/>
      <c r="F13" s="110"/>
      <c r="G13" s="289"/>
      <c r="H13" s="290"/>
      <c r="I13" s="109"/>
      <c r="J13" s="109">
        <v>402760</v>
      </c>
      <c r="K13" s="110">
        <v>409983.00227479893</v>
      </c>
      <c r="L13" s="110"/>
      <c r="M13" s="289"/>
      <c r="N13" s="290"/>
      <c r="O13" s="109"/>
      <c r="P13" s="109">
        <v>350474</v>
      </c>
      <c r="Q13" s="110">
        <v>342788.857725201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39787681</v>
      </c>
      <c r="AT13" s="113"/>
      <c r="AU13" s="113"/>
      <c r="AV13" s="311"/>
      <c r="AW13" s="318"/>
    </row>
    <row r="14" spans="1:49" ht="25.5" x14ac:dyDescent="0.2">
      <c r="B14" s="155" t="s">
        <v>231</v>
      </c>
      <c r="C14" s="62" t="s">
        <v>6</v>
      </c>
      <c r="D14" s="109"/>
      <c r="E14" s="110"/>
      <c r="F14" s="110"/>
      <c r="G14" s="288"/>
      <c r="H14" s="291"/>
      <c r="I14" s="109"/>
      <c r="J14" s="109">
        <v>26561</v>
      </c>
      <c r="K14" s="110">
        <v>25705.639587638831</v>
      </c>
      <c r="L14" s="110"/>
      <c r="M14" s="288"/>
      <c r="N14" s="291"/>
      <c r="O14" s="109"/>
      <c r="P14" s="109">
        <v>25180</v>
      </c>
      <c r="Q14" s="110">
        <v>24170.9904123612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8328478.9999999991</v>
      </c>
      <c r="AT14" s="113"/>
      <c r="AU14" s="113"/>
      <c r="AV14" s="311"/>
      <c r="AW14" s="318"/>
    </row>
    <row r="15" spans="1:49" ht="38.25" x14ac:dyDescent="0.2">
      <c r="B15" s="155" t="s">
        <v>232</v>
      </c>
      <c r="C15" s="62" t="s">
        <v>7</v>
      </c>
      <c r="D15" s="109"/>
      <c r="E15" s="110"/>
      <c r="F15" s="110"/>
      <c r="G15" s="288"/>
      <c r="H15" s="294"/>
      <c r="I15" s="109"/>
      <c r="J15" s="109">
        <v>50</v>
      </c>
      <c r="K15" s="110">
        <v>50</v>
      </c>
      <c r="L15" s="110"/>
      <c r="M15" s="288"/>
      <c r="N15" s="294"/>
      <c r="O15" s="109"/>
      <c r="P15" s="109">
        <v>19</v>
      </c>
      <c r="Q15" s="110">
        <v>19</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8254</v>
      </c>
      <c r="AT15" s="113">
        <v>21</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138224</v>
      </c>
      <c r="K17" s="288"/>
      <c r="L17" s="291"/>
      <c r="M17" s="291"/>
      <c r="N17" s="291"/>
      <c r="O17" s="292"/>
      <c r="P17" s="109">
        <v>-291160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152310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14086</v>
      </c>
      <c r="K20" s="288"/>
      <c r="L20" s="291"/>
      <c r="M20" s="291"/>
      <c r="N20" s="291"/>
      <c r="O20" s="292"/>
      <c r="P20" s="109">
        <v>291160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409</v>
      </c>
      <c r="K22" s="115">
        <f>'Pt 2 Premium and Claims'!K$55</f>
        <v>441.85</v>
      </c>
      <c r="L22" s="115">
        <f>'Pt 2 Premium and Claims'!L$55</f>
        <v>0</v>
      </c>
      <c r="M22" s="115">
        <f>'Pt 2 Premium and Claims'!M$55</f>
        <v>0</v>
      </c>
      <c r="N22" s="115">
        <f>'Pt 2 Premium and Claims'!N$55</f>
        <v>0</v>
      </c>
      <c r="O22" s="114">
        <f>'Pt 2 Premium and Claims'!O$55</f>
        <v>0</v>
      </c>
      <c r="P22" s="114">
        <f>'Pt 2 Premium and Claims'!P$55</f>
        <v>155</v>
      </c>
      <c r="Q22" s="115">
        <f>'Pt 2 Premium and Claims'!Q$55</f>
        <v>349.97</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-120947.68429999999</v>
      </c>
      <c r="K25" s="110">
        <v>-130283.18826161159</v>
      </c>
      <c r="L25" s="110">
        <v>-9335.503961611601</v>
      </c>
      <c r="M25" s="110"/>
      <c r="N25" s="110"/>
      <c r="O25" s="109"/>
      <c r="P25" s="109">
        <v>-188725.57759999999</v>
      </c>
      <c r="Q25" s="110">
        <v>-235910.88638208891</v>
      </c>
      <c r="R25" s="110">
        <v>-47185.308782088927</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13981199.75</v>
      </c>
      <c r="AT25" s="113">
        <v>-61210.196450000003</v>
      </c>
      <c r="AU25" s="113"/>
      <c r="AV25" s="113"/>
      <c r="AW25" s="318"/>
    </row>
    <row r="26" spans="1:49" s="5" customFormat="1" x14ac:dyDescent="0.2">
      <c r="A26" s="35"/>
      <c r="B26" s="158" t="s">
        <v>243</v>
      </c>
      <c r="C26" s="62"/>
      <c r="D26" s="109"/>
      <c r="E26" s="110"/>
      <c r="F26" s="110"/>
      <c r="G26" s="110"/>
      <c r="H26" s="110"/>
      <c r="I26" s="109"/>
      <c r="J26" s="109"/>
      <c r="K26" s="110">
        <v>1639.8314704907307</v>
      </c>
      <c r="L26" s="110">
        <v>326.75147049073047</v>
      </c>
      <c r="M26" s="110"/>
      <c r="N26" s="110"/>
      <c r="O26" s="109"/>
      <c r="P26" s="109"/>
      <c r="Q26" s="110">
        <v>1160.2207522206011</v>
      </c>
      <c r="R26" s="110">
        <v>272.10075222060101</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27723.670000000002</v>
      </c>
      <c r="K27" s="110">
        <v>36386.530240173772</v>
      </c>
      <c r="L27" s="110">
        <v>8662.8602401737699</v>
      </c>
      <c r="M27" s="110"/>
      <c r="N27" s="110"/>
      <c r="O27" s="109"/>
      <c r="P27" s="109">
        <v>16016.54</v>
      </c>
      <c r="Q27" s="110">
        <v>20781.009377295231</v>
      </c>
      <c r="R27" s="110">
        <v>4764.4693772952287</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6430906.7299999995</v>
      </c>
      <c r="AT27" s="113">
        <v>13775.439999999999</v>
      </c>
      <c r="AU27" s="113"/>
      <c r="AV27" s="314"/>
      <c r="AW27" s="318"/>
    </row>
    <row r="28" spans="1:49" s="5" customFormat="1" x14ac:dyDescent="0.2">
      <c r="A28" s="35"/>
      <c r="B28" s="158" t="s">
        <v>245</v>
      </c>
      <c r="C28" s="62"/>
      <c r="D28" s="109"/>
      <c r="E28" s="110"/>
      <c r="F28" s="110"/>
      <c r="G28" s="110"/>
      <c r="H28" s="110"/>
      <c r="I28" s="109"/>
      <c r="J28" s="109">
        <v>37737.299999999996</v>
      </c>
      <c r="K28" s="110">
        <v>5991.5968146816449</v>
      </c>
      <c r="L28" s="110">
        <v>1181.0168146816452</v>
      </c>
      <c r="M28" s="110"/>
      <c r="N28" s="110"/>
      <c r="O28" s="109"/>
      <c r="P28" s="109">
        <v>29670.77</v>
      </c>
      <c r="Q28" s="110">
        <v>4282.3846990970369</v>
      </c>
      <c r="R28" s="110">
        <v>987.88469909703656</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37453.29</v>
      </c>
      <c r="AT28" s="113">
        <v>434.42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-9125.6576849999983</v>
      </c>
      <c r="K30" s="110">
        <v>-8422.4268065005072</v>
      </c>
      <c r="L30" s="110">
        <v>-410.07912150051004</v>
      </c>
      <c r="M30" s="110"/>
      <c r="N30" s="110"/>
      <c r="O30" s="109"/>
      <c r="P30" s="109">
        <v>-14448.326349999999</v>
      </c>
      <c r="Q30" s="110">
        <v>-17073.788483061959</v>
      </c>
      <c r="R30" s="110">
        <v>-3380.5721330619613</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1100738.625</v>
      </c>
      <c r="AT30" s="113">
        <v>-4534.6088270000009</v>
      </c>
      <c r="AU30" s="113"/>
      <c r="AV30" s="113"/>
      <c r="AW30" s="318"/>
    </row>
    <row r="31" spans="1:49" x14ac:dyDescent="0.2">
      <c r="B31" s="158" t="s">
        <v>248</v>
      </c>
      <c r="C31" s="62"/>
      <c r="D31" s="109"/>
      <c r="E31" s="110"/>
      <c r="F31" s="110"/>
      <c r="G31" s="110"/>
      <c r="H31" s="110"/>
      <c r="I31" s="109"/>
      <c r="J31" s="109">
        <v>79114.070000000007</v>
      </c>
      <c r="K31" s="110">
        <v>103032.75351897575</v>
      </c>
      <c r="L31" s="110">
        <v>23918.683518975748</v>
      </c>
      <c r="M31" s="110"/>
      <c r="N31" s="110"/>
      <c r="O31" s="109"/>
      <c r="P31" s="109">
        <v>50687.21</v>
      </c>
      <c r="Q31" s="110">
        <v>69573.884751478356</v>
      </c>
      <c r="R31" s="110">
        <v>18886.67475147836</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38816.78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v>45280.042969841707</v>
      </c>
      <c r="L34" s="110">
        <v>9814.7829698417117</v>
      </c>
      <c r="M34" s="110"/>
      <c r="N34" s="110"/>
      <c r="O34" s="109"/>
      <c r="P34" s="109"/>
      <c r="Q34" s="110">
        <v>37643.610639446764</v>
      </c>
      <c r="R34" s="110">
        <v>9377.4306394467621</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1324.1000000000004</v>
      </c>
      <c r="K35" s="110">
        <v>1900.7234476409474</v>
      </c>
      <c r="L35" s="110">
        <v>382.51344764094711</v>
      </c>
      <c r="M35" s="110"/>
      <c r="N35" s="110"/>
      <c r="O35" s="109"/>
      <c r="P35" s="109">
        <v>891.81000000000006</v>
      </c>
      <c r="Q35" s="110">
        <v>1169.4148270719552</v>
      </c>
      <c r="R35" s="110">
        <v>277.55482707195523</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105305.93000000001</v>
      </c>
      <c r="AT35" s="113">
        <v>1230.31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10256</v>
      </c>
      <c r="K37" s="118">
        <v>12028.27</v>
      </c>
      <c r="L37" s="118">
        <v>1772</v>
      </c>
      <c r="M37" s="118"/>
      <c r="N37" s="118"/>
      <c r="O37" s="117"/>
      <c r="P37" s="117">
        <v>7494</v>
      </c>
      <c r="Q37" s="118">
        <v>9107.6999999999989</v>
      </c>
      <c r="R37" s="118">
        <v>1613.77</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1172161</v>
      </c>
      <c r="AT37" s="119"/>
      <c r="AU37" s="119"/>
      <c r="AV37" s="119"/>
      <c r="AW37" s="317"/>
    </row>
    <row r="38" spans="1:49" x14ac:dyDescent="0.2">
      <c r="B38" s="155" t="s">
        <v>255</v>
      </c>
      <c r="C38" s="62" t="s">
        <v>16</v>
      </c>
      <c r="D38" s="109"/>
      <c r="E38" s="110"/>
      <c r="F38" s="110"/>
      <c r="G38" s="110"/>
      <c r="H38" s="110"/>
      <c r="I38" s="109"/>
      <c r="J38" s="109">
        <v>4424</v>
      </c>
      <c r="K38" s="110">
        <v>5701.130000000001</v>
      </c>
      <c r="L38" s="110">
        <v>1277.54</v>
      </c>
      <c r="M38" s="110"/>
      <c r="N38" s="110"/>
      <c r="O38" s="109"/>
      <c r="P38" s="109">
        <v>2777</v>
      </c>
      <c r="Q38" s="110">
        <v>3937.0100000000007</v>
      </c>
      <c r="R38" s="110">
        <v>1159.9599999999998</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102682</v>
      </c>
      <c r="AT38" s="113"/>
      <c r="AU38" s="113"/>
      <c r="AV38" s="113"/>
      <c r="AW38" s="318"/>
    </row>
    <row r="39" spans="1:49" x14ac:dyDescent="0.2">
      <c r="B39" s="158" t="s">
        <v>256</v>
      </c>
      <c r="C39" s="62" t="s">
        <v>17</v>
      </c>
      <c r="D39" s="109"/>
      <c r="E39" s="110"/>
      <c r="F39" s="110"/>
      <c r="G39" s="110"/>
      <c r="H39" s="110"/>
      <c r="I39" s="109"/>
      <c r="J39" s="109">
        <v>3776</v>
      </c>
      <c r="K39" s="110">
        <v>4053.39</v>
      </c>
      <c r="L39" s="110">
        <v>277.71000000000004</v>
      </c>
      <c r="M39" s="110"/>
      <c r="N39" s="110"/>
      <c r="O39" s="109"/>
      <c r="P39" s="109">
        <v>2499</v>
      </c>
      <c r="Q39" s="110">
        <v>2756.4200000000005</v>
      </c>
      <c r="R39" s="110">
        <v>257.83999999999997</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244698</v>
      </c>
      <c r="AT39" s="113"/>
      <c r="AU39" s="113"/>
      <c r="AV39" s="113"/>
      <c r="AW39" s="318"/>
    </row>
    <row r="40" spans="1:49" x14ac:dyDescent="0.2">
      <c r="B40" s="158" t="s">
        <v>257</v>
      </c>
      <c r="C40" s="62" t="s">
        <v>38</v>
      </c>
      <c r="D40" s="109"/>
      <c r="E40" s="110"/>
      <c r="F40" s="110"/>
      <c r="G40" s="110"/>
      <c r="H40" s="110"/>
      <c r="I40" s="109"/>
      <c r="J40" s="109">
        <v>23414</v>
      </c>
      <c r="K40" s="110">
        <v>24218.010000000002</v>
      </c>
      <c r="L40" s="110">
        <v>803.6400000000001</v>
      </c>
      <c r="M40" s="110"/>
      <c r="N40" s="110"/>
      <c r="O40" s="109"/>
      <c r="P40" s="109">
        <v>15046</v>
      </c>
      <c r="Q40" s="110">
        <v>15786.659999999996</v>
      </c>
      <c r="R40" s="110">
        <v>740.81999999999994</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1858017</v>
      </c>
      <c r="AT40" s="113">
        <v>57</v>
      </c>
      <c r="AU40" s="113"/>
      <c r="AV40" s="113"/>
      <c r="AW40" s="318"/>
    </row>
    <row r="41" spans="1:49" s="5" customFormat="1" ht="25.5" x14ac:dyDescent="0.2">
      <c r="A41" s="35"/>
      <c r="B41" s="158" t="s">
        <v>258</v>
      </c>
      <c r="C41" s="62" t="s">
        <v>129</v>
      </c>
      <c r="D41" s="109"/>
      <c r="E41" s="110"/>
      <c r="F41" s="110"/>
      <c r="G41" s="110"/>
      <c r="H41" s="110"/>
      <c r="I41" s="109"/>
      <c r="J41" s="109">
        <v>2551</v>
      </c>
      <c r="K41" s="110">
        <v>3331.3299999999995</v>
      </c>
      <c r="L41" s="110">
        <v>780.19</v>
      </c>
      <c r="M41" s="110"/>
      <c r="N41" s="110"/>
      <c r="O41" s="109"/>
      <c r="P41" s="109">
        <v>1804</v>
      </c>
      <c r="Q41" s="110">
        <v>2548.4499999999998</v>
      </c>
      <c r="R41" s="110">
        <v>743.95999999999992</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213216</v>
      </c>
      <c r="AT41" s="113">
        <v>1757</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21692</v>
      </c>
      <c r="K44" s="118">
        <v>29094.690354480736</v>
      </c>
      <c r="L44" s="118">
        <v>7402.6903544807337</v>
      </c>
      <c r="M44" s="118"/>
      <c r="N44" s="118"/>
      <c r="O44" s="117"/>
      <c r="P44" s="117">
        <v>17443</v>
      </c>
      <c r="Q44" s="118">
        <v>23342.358652946677</v>
      </c>
      <c r="R44" s="118">
        <v>5899.3586529466793</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1154054</v>
      </c>
      <c r="AT44" s="119">
        <v>6051</v>
      </c>
      <c r="AU44" s="119"/>
      <c r="AV44" s="119"/>
      <c r="AW44" s="317"/>
    </row>
    <row r="45" spans="1:49" x14ac:dyDescent="0.2">
      <c r="B45" s="161" t="s">
        <v>262</v>
      </c>
      <c r="C45" s="62" t="s">
        <v>19</v>
      </c>
      <c r="D45" s="109"/>
      <c r="E45" s="110"/>
      <c r="F45" s="110"/>
      <c r="G45" s="110"/>
      <c r="H45" s="110"/>
      <c r="I45" s="109"/>
      <c r="J45" s="109">
        <v>14663</v>
      </c>
      <c r="K45" s="110">
        <v>20441.010874212316</v>
      </c>
      <c r="L45" s="110">
        <v>5778.0108742123166</v>
      </c>
      <c r="M45" s="110"/>
      <c r="N45" s="110"/>
      <c r="O45" s="109"/>
      <c r="P45" s="109">
        <v>10107</v>
      </c>
      <c r="Q45" s="110">
        <v>14304.163704396633</v>
      </c>
      <c r="R45" s="110">
        <v>4197.1637043966321</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824904</v>
      </c>
      <c r="AT45" s="113">
        <v>7298</v>
      </c>
      <c r="AU45" s="113"/>
      <c r="AV45" s="113"/>
      <c r="AW45" s="318"/>
    </row>
    <row r="46" spans="1:49" x14ac:dyDescent="0.2">
      <c r="B46" s="161" t="s">
        <v>263</v>
      </c>
      <c r="C46" s="62" t="s">
        <v>20</v>
      </c>
      <c r="D46" s="109"/>
      <c r="E46" s="110"/>
      <c r="F46" s="110"/>
      <c r="G46" s="110"/>
      <c r="H46" s="110"/>
      <c r="I46" s="109"/>
      <c r="J46" s="109">
        <v>10306</v>
      </c>
      <c r="K46" s="110">
        <v>13618.555365540829</v>
      </c>
      <c r="L46" s="110">
        <v>3312.5553655408294</v>
      </c>
      <c r="M46" s="110"/>
      <c r="N46" s="110"/>
      <c r="O46" s="109"/>
      <c r="P46" s="109">
        <v>7374</v>
      </c>
      <c r="Q46" s="110">
        <v>10178.458746492048</v>
      </c>
      <c r="R46" s="110">
        <v>2804.4587464920487</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731087</v>
      </c>
      <c r="AT46" s="113">
        <v>25365</v>
      </c>
      <c r="AU46" s="113"/>
      <c r="AV46" s="113"/>
      <c r="AW46" s="318"/>
    </row>
    <row r="47" spans="1:49" x14ac:dyDescent="0.2">
      <c r="B47" s="161" t="s">
        <v>264</v>
      </c>
      <c r="C47" s="62" t="s">
        <v>21</v>
      </c>
      <c r="D47" s="109"/>
      <c r="E47" s="110"/>
      <c r="F47" s="110"/>
      <c r="G47" s="110"/>
      <c r="H47" s="110"/>
      <c r="I47" s="109"/>
      <c r="J47" s="109">
        <v>156696</v>
      </c>
      <c r="K47" s="110">
        <v>213705.02046582522</v>
      </c>
      <c r="L47" s="110">
        <v>57009.020465825233</v>
      </c>
      <c r="M47" s="110"/>
      <c r="N47" s="110"/>
      <c r="O47" s="109"/>
      <c r="P47" s="109">
        <v>101982</v>
      </c>
      <c r="Q47" s="110">
        <v>137584.4785781104</v>
      </c>
      <c r="R47" s="110">
        <v>35602.478578110386</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2700675</v>
      </c>
      <c r="AT47" s="113">
        <v>1801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52733.517685000013</v>
      </c>
      <c r="K49" s="110">
        <v>48460.790198382543</v>
      </c>
      <c r="L49" s="110">
        <v>886.31251338253037</v>
      </c>
      <c r="M49" s="110"/>
      <c r="N49" s="110"/>
      <c r="O49" s="109"/>
      <c r="P49" s="109">
        <v>56278.836350000012</v>
      </c>
      <c r="Q49" s="110">
        <v>56654.034755343324</v>
      </c>
      <c r="R49" s="110">
        <v>3908.3884053433117</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-2980883.4849999999</v>
      </c>
      <c r="AT49" s="113">
        <v>22939.918827000001</v>
      </c>
      <c r="AU49" s="113"/>
      <c r="AV49" s="113"/>
      <c r="AW49" s="318"/>
    </row>
    <row r="50" spans="2:49" ht="25.5" x14ac:dyDescent="0.2">
      <c r="B50" s="155" t="s">
        <v>266</v>
      </c>
      <c r="C50" s="62"/>
      <c r="D50" s="109"/>
      <c r="E50" s="110"/>
      <c r="F50" s="110"/>
      <c r="G50" s="110"/>
      <c r="H50" s="110"/>
      <c r="I50" s="109"/>
      <c r="J50" s="109">
        <v>74.080000000000013</v>
      </c>
      <c r="K50" s="110">
        <v>97.887748387456568</v>
      </c>
      <c r="L50" s="110">
        <v>23.807748387456552</v>
      </c>
      <c r="M50" s="110"/>
      <c r="N50" s="110"/>
      <c r="O50" s="109"/>
      <c r="P50" s="109">
        <v>52.559999999999988</v>
      </c>
      <c r="Q50" s="110">
        <v>71.732969130028053</v>
      </c>
      <c r="R50" s="110">
        <v>19.172969130028068</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5324.0400000000018</v>
      </c>
      <c r="AT50" s="113">
        <v>59.29</v>
      </c>
      <c r="AU50" s="113"/>
      <c r="AV50" s="113"/>
      <c r="AW50" s="318"/>
    </row>
    <row r="51" spans="2:49" x14ac:dyDescent="0.2">
      <c r="B51" s="155" t="s">
        <v>267</v>
      </c>
      <c r="C51" s="62"/>
      <c r="D51" s="109"/>
      <c r="E51" s="110"/>
      <c r="F51" s="110"/>
      <c r="G51" s="110"/>
      <c r="H51" s="110"/>
      <c r="I51" s="109"/>
      <c r="J51" s="109">
        <v>146694</v>
      </c>
      <c r="K51" s="110">
        <v>191211.86781790806</v>
      </c>
      <c r="L51" s="110">
        <v>44517.867817908067</v>
      </c>
      <c r="M51" s="110"/>
      <c r="N51" s="110"/>
      <c r="O51" s="109"/>
      <c r="P51" s="109">
        <v>100146</v>
      </c>
      <c r="Q51" s="110">
        <v>135302.6503274088</v>
      </c>
      <c r="R51" s="110">
        <v>35156.650327408795</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29982539</v>
      </c>
      <c r="AT51" s="113">
        <v>119798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504</v>
      </c>
      <c r="K56" s="122">
        <v>435</v>
      </c>
      <c r="L56" s="122"/>
      <c r="M56" s="122"/>
      <c r="N56" s="122"/>
      <c r="O56" s="121"/>
      <c r="P56" s="121">
        <v>314</v>
      </c>
      <c r="Q56" s="122">
        <v>460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30057</v>
      </c>
      <c r="AT56" s="123">
        <v>5255</v>
      </c>
      <c r="AU56" s="123"/>
      <c r="AV56" s="123"/>
      <c r="AW56" s="309"/>
    </row>
    <row r="57" spans="2:49" x14ac:dyDescent="0.2">
      <c r="B57" s="161" t="s">
        <v>273</v>
      </c>
      <c r="C57" s="62" t="s">
        <v>25</v>
      </c>
      <c r="D57" s="124"/>
      <c r="E57" s="125"/>
      <c r="F57" s="125"/>
      <c r="G57" s="125"/>
      <c r="H57" s="125"/>
      <c r="I57" s="124"/>
      <c r="J57" s="124">
        <v>839</v>
      </c>
      <c r="K57" s="125">
        <v>753</v>
      </c>
      <c r="L57" s="125">
        <v>150</v>
      </c>
      <c r="M57" s="125"/>
      <c r="N57" s="125"/>
      <c r="O57" s="124"/>
      <c r="P57" s="124">
        <v>638</v>
      </c>
      <c r="Q57" s="125">
        <v>855</v>
      </c>
      <c r="R57" s="125">
        <v>269</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38932</v>
      </c>
      <c r="AT57" s="126">
        <v>5528</v>
      </c>
      <c r="AU57" s="126"/>
      <c r="AV57" s="126"/>
      <c r="AW57" s="310"/>
    </row>
    <row r="58" spans="2:49" x14ac:dyDescent="0.2">
      <c r="B58" s="161" t="s">
        <v>274</v>
      </c>
      <c r="C58" s="62" t="s">
        <v>26</v>
      </c>
      <c r="D58" s="330"/>
      <c r="E58" s="331"/>
      <c r="F58" s="331"/>
      <c r="G58" s="331"/>
      <c r="H58" s="331"/>
      <c r="I58" s="330"/>
      <c r="J58" s="124">
        <v>45</v>
      </c>
      <c r="K58" s="125">
        <v>45</v>
      </c>
      <c r="L58" s="125"/>
      <c r="M58" s="125"/>
      <c r="N58" s="125"/>
      <c r="O58" s="124"/>
      <c r="P58" s="124">
        <v>11</v>
      </c>
      <c r="Q58" s="125">
        <v>11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c r="AU58" s="126"/>
      <c r="AV58" s="126"/>
      <c r="AW58" s="310"/>
    </row>
    <row r="59" spans="2:49" x14ac:dyDescent="0.2">
      <c r="B59" s="161" t="s">
        <v>275</v>
      </c>
      <c r="C59" s="62" t="s">
        <v>27</v>
      </c>
      <c r="D59" s="124"/>
      <c r="E59" s="125"/>
      <c r="F59" s="125"/>
      <c r="G59" s="125"/>
      <c r="H59" s="125"/>
      <c r="I59" s="124"/>
      <c r="J59" s="124">
        <v>9553</v>
      </c>
      <c r="K59" s="125">
        <v>9179</v>
      </c>
      <c r="L59" s="125">
        <v>2253</v>
      </c>
      <c r="M59" s="125"/>
      <c r="N59" s="125"/>
      <c r="O59" s="124"/>
      <c r="P59" s="124">
        <v>7286</v>
      </c>
      <c r="Q59" s="125">
        <v>8089</v>
      </c>
      <c r="R59" s="125">
        <v>2288</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492043</v>
      </c>
      <c r="AT59" s="126">
        <v>61029</v>
      </c>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796.08333333333337</v>
      </c>
      <c r="K60" s="128">
        <f t="shared" si="0"/>
        <v>764.91666666666663</v>
      </c>
      <c r="L60" s="128">
        <f t="shared" si="0"/>
        <v>187.75</v>
      </c>
      <c r="M60" s="128">
        <f t="shared" si="0"/>
        <v>0</v>
      </c>
      <c r="N60" s="128">
        <f t="shared" si="0"/>
        <v>0</v>
      </c>
      <c r="O60" s="127">
        <f t="shared" si="0"/>
        <v>0</v>
      </c>
      <c r="P60" s="127">
        <f t="shared" si="0"/>
        <v>607.16666666666663</v>
      </c>
      <c r="Q60" s="128">
        <f t="shared" si="0"/>
        <v>674.08333333333337</v>
      </c>
      <c r="R60" s="128">
        <f t="shared" si="0"/>
        <v>190.66666666666666</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41003.583333333336</v>
      </c>
      <c r="AT60" s="129">
        <f>AT$59/12</f>
        <v>5085.75</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2317186</v>
      </c>
      <c r="K5" s="118">
        <v>2793149.4965335</v>
      </c>
      <c r="L5" s="118">
        <v>665975.32000000007</v>
      </c>
      <c r="M5" s="118"/>
      <c r="N5" s="118"/>
      <c r="O5" s="117"/>
      <c r="P5" s="117">
        <v>1361376</v>
      </c>
      <c r="Q5" s="118">
        <v>2219190.2471895004</v>
      </c>
      <c r="R5" s="118">
        <v>626632.34</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518730563</v>
      </c>
      <c r="AT5" s="119">
        <v>1032284.0000000001</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-2057.2400000000198</v>
      </c>
      <c r="K11" s="110"/>
      <c r="L11" s="110"/>
      <c r="M11" s="110"/>
      <c r="N11" s="110"/>
      <c r="O11" s="109"/>
      <c r="P11" s="109">
        <v>-0.36999999999534339</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-6574396</v>
      </c>
      <c r="AT11" s="113"/>
      <c r="AU11" s="113"/>
      <c r="AV11" s="311"/>
      <c r="AW11" s="318"/>
    </row>
    <row r="12" spans="2:49" x14ac:dyDescent="0.2">
      <c r="B12" s="176" t="s">
        <v>283</v>
      </c>
      <c r="C12" s="133" t="s">
        <v>44</v>
      </c>
      <c r="D12" s="109"/>
      <c r="E12" s="289"/>
      <c r="F12" s="289"/>
      <c r="G12" s="289"/>
      <c r="H12" s="289"/>
      <c r="I12" s="293"/>
      <c r="J12" s="109">
        <v>-0.48000000001047738</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-7207370</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f>-76054.9+9.28</f>
        <v>-76045.62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2091438.9999999998</v>
      </c>
      <c r="K23" s="288"/>
      <c r="L23" s="288"/>
      <c r="M23" s="288"/>
      <c r="N23" s="288"/>
      <c r="O23" s="292"/>
      <c r="P23" s="109">
        <v>1379162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452162542</v>
      </c>
      <c r="AT23" s="113">
        <v>961798</v>
      </c>
      <c r="AU23" s="113"/>
      <c r="AV23" s="311"/>
      <c r="AW23" s="318"/>
    </row>
    <row r="24" spans="2:49" ht="28.5" customHeight="1" x14ac:dyDescent="0.2">
      <c r="B24" s="178" t="s">
        <v>114</v>
      </c>
      <c r="C24" s="133"/>
      <c r="D24" s="293"/>
      <c r="E24" s="110"/>
      <c r="F24" s="110"/>
      <c r="G24" s="110"/>
      <c r="H24" s="110"/>
      <c r="I24" s="109"/>
      <c r="J24" s="293"/>
      <c r="K24" s="110">
        <v>2340874.6399999992</v>
      </c>
      <c r="L24" s="110">
        <v>695353.96</v>
      </c>
      <c r="M24" s="110"/>
      <c r="N24" s="110"/>
      <c r="O24" s="109"/>
      <c r="P24" s="293"/>
      <c r="Q24" s="110">
        <v>2141398.5300000007</v>
      </c>
      <c r="R24" s="110">
        <v>633053.15</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94594</v>
      </c>
      <c r="K26" s="288"/>
      <c r="L26" s="288"/>
      <c r="M26" s="288"/>
      <c r="N26" s="288"/>
      <c r="O26" s="292"/>
      <c r="P26" s="109">
        <v>177529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28457212</v>
      </c>
      <c r="AT26" s="113">
        <v>63675</v>
      </c>
      <c r="AU26" s="113"/>
      <c r="AV26" s="311"/>
      <c r="AW26" s="318"/>
    </row>
    <row r="27" spans="2:49" s="5" customFormat="1" ht="25.5" x14ac:dyDescent="0.2">
      <c r="B27" s="178" t="s">
        <v>85</v>
      </c>
      <c r="C27" s="133"/>
      <c r="D27" s="293"/>
      <c r="E27" s="110"/>
      <c r="F27" s="110"/>
      <c r="G27" s="110"/>
      <c r="H27" s="110"/>
      <c r="I27" s="109"/>
      <c r="J27" s="293"/>
      <c r="K27" s="110">
        <v>313780.86944304238</v>
      </c>
      <c r="L27" s="110">
        <v>26918.679199999995</v>
      </c>
      <c r="M27" s="110"/>
      <c r="N27" s="110"/>
      <c r="O27" s="109"/>
      <c r="P27" s="293"/>
      <c r="Q27" s="110">
        <v>33505.425756957738</v>
      </c>
      <c r="R27" s="110">
        <v>24675.081699999999</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91841</v>
      </c>
      <c r="K28" s="289"/>
      <c r="L28" s="289"/>
      <c r="M28" s="289"/>
      <c r="N28" s="289"/>
      <c r="O28" s="293"/>
      <c r="P28" s="109">
        <v>69825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33224432.999999996</v>
      </c>
      <c r="AT28" s="113">
        <v>43656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3857</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3582.12</v>
      </c>
      <c r="L31" s="110"/>
      <c r="M31" s="110"/>
      <c r="N31" s="110"/>
      <c r="O31" s="109"/>
      <c r="P31" s="293"/>
      <c r="Q31" s="110">
        <v>275.27999999999997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228</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14086</v>
      </c>
      <c r="K41" s="288"/>
      <c r="L41" s="288"/>
      <c r="M41" s="288"/>
      <c r="N41" s="288"/>
      <c r="O41" s="292"/>
      <c r="P41" s="109">
        <v>291160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-6574396</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152310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-7207370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11665</v>
      </c>
      <c r="K49" s="110">
        <v>25705.639587638831</v>
      </c>
      <c r="L49" s="110"/>
      <c r="M49" s="110"/>
      <c r="N49" s="110"/>
      <c r="O49" s="109"/>
      <c r="P49" s="109">
        <v>2304</v>
      </c>
      <c r="Q49" s="110">
        <v>24170.9904123612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6610597</v>
      </c>
      <c r="AT49" s="113"/>
      <c r="AU49" s="113"/>
      <c r="AV49" s="311"/>
      <c r="AW49" s="318"/>
    </row>
    <row r="50" spans="2:49" x14ac:dyDescent="0.2">
      <c r="B50" s="176" t="s">
        <v>119</v>
      </c>
      <c r="C50" s="133" t="s">
        <v>34</v>
      </c>
      <c r="D50" s="109"/>
      <c r="E50" s="289"/>
      <c r="F50" s="289"/>
      <c r="G50" s="289"/>
      <c r="H50" s="289"/>
      <c r="I50" s="293"/>
      <c r="J50" s="109">
        <v>3124</v>
      </c>
      <c r="K50" s="289"/>
      <c r="L50" s="289"/>
      <c r="M50" s="289"/>
      <c r="N50" s="289"/>
      <c r="O50" s="293"/>
      <c r="P50" s="109">
        <v>10255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1410567</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v>
      </c>
      <c r="L53" s="110">
        <v>-138634</v>
      </c>
      <c r="M53" s="110"/>
      <c r="N53" s="110"/>
      <c r="O53" s="109"/>
      <c r="P53" s="109"/>
      <c r="Q53" s="110">
        <v>-111240</v>
      </c>
      <c r="R53" s="110">
        <v>-19590</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1951284</v>
      </c>
      <c r="K54" s="115">
        <f>K24+K27+K31+K35-K36+K39+K42+K45+K46-K49+K51+K52+K53</f>
        <v>2632532.9898554026</v>
      </c>
      <c r="L54" s="115">
        <f>L24+L27+L31+L35-L36+L39+L42+L45+L46-L49+L51+L52+L53</f>
        <v>583638.63919999998</v>
      </c>
      <c r="M54" s="115">
        <f>M24+M27+M31+M35-M36+M39+M42+M45+M46-M49+M51+M52+M53</f>
        <v>0</v>
      </c>
      <c r="N54" s="115">
        <f>N24+N27+N31+N35-N36+N39+N42+N45+N46-N49+N51+N52+N53</f>
        <v>0</v>
      </c>
      <c r="O54" s="114">
        <f>O24+O27+O31+O35-O36+O39+O42+O45+O46-O49+O51+O52+O53</f>
        <v>0</v>
      </c>
      <c r="P54" s="114">
        <f>P23+P26-P28+P30-P32+P34-P36+P38+P41-P43+P45+P46-P47-P49+P50+P51+P52+P53</f>
        <v>1785977</v>
      </c>
      <c r="Q54" s="115">
        <f>Q24+Q27+Q31+Q35-Q36+Q39+Q42+Q45+Q46-Q49+Q51+Q52+Q53</f>
        <v>2039768.2453445974</v>
      </c>
      <c r="R54" s="115">
        <f>R24+R27+R31+R35-R36+R39+R42+R45+R46-R49+R51+R52+R53</f>
        <v>638138.2317</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442828493</v>
      </c>
      <c r="AT54" s="116">
        <f>AT23+AT26-AT28+AT30-AT32+AT34-AT36+AT38+AT41-AT43+AT45+AT46-AT47-AT49+AT50+AT51+AT52+AT53</f>
        <v>981817</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409</v>
      </c>
      <c r="K55" s="115">
        <f t="shared" si="0"/>
        <v>441.85</v>
      </c>
      <c r="L55" s="115">
        <f t="shared" si="0"/>
        <v>0</v>
      </c>
      <c r="M55" s="115">
        <f t="shared" si="0"/>
        <v>0</v>
      </c>
      <c r="N55" s="115">
        <f t="shared" si="0"/>
        <v>0</v>
      </c>
      <c r="O55" s="114">
        <f t="shared" si="0"/>
        <v>0</v>
      </c>
      <c r="P55" s="114">
        <f t="shared" si="0"/>
        <v>155</v>
      </c>
      <c r="Q55" s="115">
        <f t="shared" si="0"/>
        <v>349.97</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v>3385</v>
      </c>
      <c r="K56" s="110">
        <v>3409.28</v>
      </c>
      <c r="L56" s="110"/>
      <c r="M56" s="110"/>
      <c r="N56" s="110"/>
      <c r="O56" s="109"/>
      <c r="P56" s="109">
        <v>3218</v>
      </c>
      <c r="Q56" s="110">
        <v>3242.12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v>409</v>
      </c>
      <c r="K57" s="110">
        <v>441.85</v>
      </c>
      <c r="L57" s="110"/>
      <c r="M57" s="110"/>
      <c r="N57" s="110"/>
      <c r="O57" s="109"/>
      <c r="P57" s="109">
        <v>155</v>
      </c>
      <c r="Q57" s="110">
        <v>349.97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3092</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842369.15</v>
      </c>
      <c r="I5" s="118">
        <v>2079294.9694005956</v>
      </c>
      <c r="J5" s="346"/>
      <c r="K5" s="346"/>
      <c r="L5" s="312"/>
      <c r="M5" s="117">
        <v>347764.95</v>
      </c>
      <c r="N5" s="118">
        <v>1032566.0474994041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v>751139.55</v>
      </c>
      <c r="I6" s="110">
        <v>2051937.6340009626</v>
      </c>
      <c r="J6" s="115">
        <f>SUM('Pt 1 Summary of Data'!K$12,'Pt 1 Summary of Data'!K$22)+SUM('Pt 1 Summary of Data'!M$12,'Pt 1 Summary of Data'!M$22)-SUM('Pt 1 Summary of Data'!N$12,'Pt 1 Summary of Data'!N$22)</f>
        <v>2632974.8398554027</v>
      </c>
      <c r="K6" s="115">
        <f>SUM(H6:J6)</f>
        <v>5436052.0238563651</v>
      </c>
      <c r="L6" s="116">
        <f>SUM('Pt 1 Summary of Data'!O$12,'Pt 1 Summary of Data'!O$22)</f>
        <v>0</v>
      </c>
      <c r="M6" s="109">
        <v>364026.6700000001</v>
      </c>
      <c r="N6" s="110">
        <v>1022770.2662990364</v>
      </c>
      <c r="O6" s="115">
        <f>SUM('Pt 1 Summary of Data'!Q$12,'Pt 1 Summary of Data'!Q$22)+SUM('Pt 1 Summary of Data'!S$12,'Pt 1 Summary of Data'!S$22)-SUM('Pt 1 Summary of Data'!T$12,'Pt 1 Summary of Data'!T$22)</f>
        <v>2040118.2153445974</v>
      </c>
      <c r="P6" s="115">
        <f>SUM(M6:O6)</f>
        <v>3426915.1516436338</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v>44283.78</v>
      </c>
      <c r="I7" s="110">
        <v>51524.33</v>
      </c>
      <c r="J7" s="115">
        <f>SUM('Pt 1 Summary of Data'!K$37:K$41)+SUM('Pt 1 Summary of Data'!M$37:M$41)-SUM('Pt 1 Summary of Data'!N$37:N$41)+MAX(0,MIN('Pt 1 Summary of Data'!K$42+'Pt 1 Summary of Data'!M$42-'Pt 1 Summary of Data'!N$42,0.3%*('Pt 1 Summary of Data'!K$5+'Pt 1 Summary of Data'!M$5-'Pt 1 Summary of Data'!N$5-SUM(J$10:J$11))))</f>
        <v>49332.130000000005</v>
      </c>
      <c r="K7" s="115">
        <f>SUM(H7:J7)</f>
        <v>145140.24</v>
      </c>
      <c r="L7" s="116">
        <f>SUM('Pt 1 Summary of Data'!O$37:O$41)+MAX(0,MIN('Pt 1 Summary of Data'!O$42,0.3%*('Pt 1 Summary of Data'!O$5-L$10)))</f>
        <v>0</v>
      </c>
      <c r="M7" s="109">
        <v>22181.01</v>
      </c>
      <c r="N7" s="110">
        <v>26445.38</v>
      </c>
      <c r="O7" s="115">
        <f>SUM('Pt 1 Summary of Data'!Q$37:Q$41)+SUM('Pt 1 Summary of Data'!S$37:S$41)-SUM('Pt 1 Summary of Data'!T$37:T$41)+MAX(0,MIN('Pt 1 Summary of Data'!Q$42+'Pt 1 Summary of Data'!S$42-'Pt 1 Summary of Data'!T$42,0.3%*('Pt 1 Summary of Data'!Q$5+'Pt 1 Summary of Data'!S$5-'Pt 1 Summary of Data'!T$5)))</f>
        <v>34136.239999999991</v>
      </c>
      <c r="P7" s="115">
        <f>SUM(M7:O7)</f>
        <v>82762.62999999999</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-76045.62</v>
      </c>
      <c r="K10" s="115">
        <f>SUM(H10:J10)</f>
        <v>-76045.62</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795423.33000000007</v>
      </c>
      <c r="I12" s="115">
        <f>SUM(I$6:I$7)+IF(AND(OR('Company Information'!$C$12="District of Columbia",'Company Information'!$C$12="Massachusetts",'Company Information'!$C$12="Vermont"),SUM($H$6:$K$11,$H$15:$K$16,$H$37:$I$37)&lt;&gt;0),SUM(D$6:D$7),0)</f>
        <v>2103461.9640009627</v>
      </c>
      <c r="J12" s="115">
        <f>SUM(J$6:J$7)-SUM(J$10:J$11)+IF(AND(OR('Company Information'!$C$12="District of Columbia",'Company Information'!$C$12="Massachusetts",'Company Information'!$C$12="Vermont"),SUM($H$6:$K$11,$H$15:$K$16,$H$37:$I$37)&lt;&gt;0),SUM(E$6:E$7)-SUM(E$8:E$11),0)</f>
        <v>2758352.5898554027</v>
      </c>
      <c r="K12" s="115">
        <f>IFERROR(SUM(H$12:J$12)+H$17*MAX(0,J$49-H$49)+I$17*MAX(0,J$49-I$49),0)</f>
        <v>5657237.8838563655</v>
      </c>
      <c r="L12" s="311"/>
      <c r="M12" s="114">
        <f>SUM(M$6:M$7)</f>
        <v>386207.68000000011</v>
      </c>
      <c r="N12" s="115">
        <f>SUM(N$6:N$7)</f>
        <v>1049215.6462990365</v>
      </c>
      <c r="O12" s="115">
        <f>SUM(O$6:O$7)</f>
        <v>2074254.4553445973</v>
      </c>
      <c r="P12" s="115">
        <f>SUM(M$12:O$12)+M$17*MAX(0,O$49-M$49)+N$17*MAX(0,O$49-N$49)</f>
        <v>3509677.7816436337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v>1787223.72</v>
      </c>
      <c r="I15" s="118">
        <v>2201078.3591788104</v>
      </c>
      <c r="J15" s="106">
        <f>SUM('Pt 1 Summary of Data'!K$5:K$7)+SUM('Pt 1 Summary of Data'!M$5:M$7)-SUM('Pt 1 Summary of Data'!N$5:N$7)-SUM(J$10:J$11)+I$55</f>
        <v>2791997.2951124855</v>
      </c>
      <c r="K15" s="106">
        <f>SUM(H15:J15)</f>
        <v>6780299.3742912952</v>
      </c>
      <c r="L15" s="107">
        <f>SUM('Pt 1 Summary of Data'!O$5:O$7)-L$10</f>
        <v>0</v>
      </c>
      <c r="M15" s="117">
        <v>887527.52</v>
      </c>
      <c r="N15" s="118">
        <v>1622347.2294661917</v>
      </c>
      <c r="O15" s="106">
        <f>SUM('Pt 1 Summary of Data'!Q$5:Q$7)+SUM('Pt 1 Summary of Data'!S$5:S$7)-SUM('Pt 1 Summary of Data'!T$5:T$7)+N$55</f>
        <v>2219461.8812336521</v>
      </c>
      <c r="P15" s="106">
        <f>SUM(M15:O15)</f>
        <v>4729336.6306998441</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v>79274.460000000006</v>
      </c>
      <c r="I16" s="110">
        <v>-172259.38935951193</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55525.863393692453</v>
      </c>
      <c r="K16" s="115">
        <f>SUM(H16:J16)</f>
        <v>-37459.065965819471</v>
      </c>
      <c r="L16" s="116">
        <f>SUM('Pt 1 Summary of Data'!O$25:O$28,'Pt 1 Summary of Data'!O$30,'Pt 1 Summary of Data'!O$34:O$35)+IF('Company Information'!$C$15="No",IF(MAX('Pt 1 Summary of Data'!O$31:O$32)=0,MIN('Pt 1 Summary of Data'!O$31:O$32),MAX('Pt 1 Summary of Data'!O$31:O$32)),SUM('Pt 1 Summary of Data'!O$31:O$32))</f>
        <v>0</v>
      </c>
      <c r="M16" s="109">
        <v>70302.429999999993</v>
      </c>
      <c r="N16" s="110">
        <v>135607.49022987299</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-118242.30862075095</v>
      </c>
      <c r="P16" s="115">
        <f>SUM(M16:O16)</f>
        <v>87667.611609122032</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1707949.26</v>
      </c>
      <c r="I17" s="115">
        <f>I$15-I$16+IF(AND(OR('Company Information'!$C$12="District of Columbia",'Company Information'!$C$12="Massachusetts",'Company Information'!$C$12="Vermont"),SUM($H$6:$K$11,$H$15:$K$16,$H$37:$I$37)&lt;&gt;0),D$15-D$16,0)</f>
        <v>2373337.7485383223</v>
      </c>
      <c r="J17" s="115">
        <f>J$15-J$16+IF(AND(OR('Company Information'!$C$12="District of Columbia",'Company Information'!$C$12="Massachusetts",'Company Information'!$C$12="Vermont"),SUM($H$6:$K$11,$H$15:$K$16,$H$37:$I$37)&lt;&gt;0),E$15-E$16,0)</f>
        <v>2736471.4317187932</v>
      </c>
      <c r="K17" s="115">
        <f>K$15-K$16+IF(AND(OR('Company Information'!$C$12="District of Columbia",'Company Information'!$C$12="Massachusetts",'Company Information'!$C$12="Vermont"),SUM($H$6:$K$11,$H$15:$K$16,$H$37:$I$37)&lt;&gt;0),F$15-F$16,0)</f>
        <v>6817758.4402571144</v>
      </c>
      <c r="L17" s="314"/>
      <c r="M17" s="114">
        <f>M$15-M$16</f>
        <v>817225.09000000008</v>
      </c>
      <c r="N17" s="115">
        <f>N$15-N$16</f>
        <v>1486739.7392363187</v>
      </c>
      <c r="O17" s="115">
        <f>O$15-O$16</f>
        <v>2337704.189854403</v>
      </c>
      <c r="P17" s="115">
        <f>P$15-P$16</f>
        <v>4641669.0190907223</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v>565.5</v>
      </c>
      <c r="I37" s="122">
        <v>666</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764.91666666666663</v>
      </c>
      <c r="K37" s="256">
        <f>SUM(H$37:J$37)+IF(AND(OR('Company Information'!$C$12="District of Columbia",'Company Information'!$C$12="Massachusetts",'Company Information'!$C$12="Vermont"),SUM($H$6:$K$11,$H$15:$K$16,$H$37:$I$37)&lt;&gt;0,SUM(H$37:I$37)&lt;&gt;SUM(C$37:D$37)),SUM(C$37:D$37),0)</f>
        <v>1996.4166666666665</v>
      </c>
      <c r="L37" s="312"/>
      <c r="M37" s="121">
        <v>302.25</v>
      </c>
      <c r="N37" s="122">
        <v>528</v>
      </c>
      <c r="O37" s="256">
        <f>('Pt 1 Summary of Data'!Q$59+'Pt 1 Summary of Data'!S$59-'Pt 1 Summary of Data'!T$59)/12</f>
        <v>674.08333333333337</v>
      </c>
      <c r="P37" s="256">
        <f>SUM(M$37:O$37)</f>
        <v>1504.3333333333335</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6.2407388888888887E-2</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7.2577111111111106E-2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 ca="1">IF(OR(K$37&lt;1000,K$37&gt;=75000),0,K$38*K$40)</f>
        <v>6.2407388888888887E-2</v>
      </c>
      <c r="L41" s="311"/>
      <c r="M41" s="292"/>
      <c r="N41" s="288"/>
      <c r="O41" s="288"/>
      <c r="P41" s="260">
        <f ca="1">IF(OR(P$37&lt;1000,P$37&gt;=75000),0,P$38*P$40)</f>
        <v>7.2577111111111106E-2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f>IF(OR(K$37&lt;1000,K$17&lt;=0),"",K$12/K$17)</f>
        <v>0.82977974849502256</v>
      </c>
      <c r="L44" s="311"/>
      <c r="M44" s="262" t="str">
        <f>IF(OR(M$37&lt;1000,M$17&lt;=0),"",M$12/M$17)</f>
        <v/>
      </c>
      <c r="N44" s="260" t="str">
        <f>IF(OR(N$37&lt;1000,N$17&lt;=0),"",N$12/N$17)</f>
        <v/>
      </c>
      <c r="O44" s="260" t="str">
        <f>IF(OR(O$37&lt;1000,O$17&lt;=0),"",O$12/O$17)</f>
        <v/>
      </c>
      <c r="P44" s="260">
        <f>IF(OR(P$37&lt;1000,P$17&lt;=0),"",P$12/P$17)</f>
        <v>0.7561240939861672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f ca="1">IF(K$44="","",K$41)</f>
        <v>6.2407388888888887E-2</v>
      </c>
      <c r="L46" s="311"/>
      <c r="M46" s="292"/>
      <c r="N46" s="288"/>
      <c r="O46" s="288"/>
      <c r="P46" s="260">
        <f ca="1">IF(P$44="","",P$41)</f>
        <v>7.2577111111111106E-2</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f ca="1">IF(K$44="","",ROUND(K$44+MAX(0,K$46),3))</f>
        <v>0.89200000000000002</v>
      </c>
      <c r="L47" s="311"/>
      <c r="M47" s="292"/>
      <c r="N47" s="288"/>
      <c r="O47" s="288"/>
      <c r="P47" s="260">
        <f ca="1">IF(P$44="","",ROUND(P$44+MAX(0,P$46),3))</f>
        <v>0.82899999999999996</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2048</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f ca="1">K$47</f>
        <v>0.89200000000000002</v>
      </c>
      <c r="L50" s="311"/>
      <c r="M50" s="293"/>
      <c r="N50" s="289"/>
      <c r="O50" s="289"/>
      <c r="P50" s="260">
        <f ca="1">P$47</f>
        <v>0.82899999999999996</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f>IF(K$37&lt;1000,"",MAX(0,J$15-J$16))</f>
        <v>2736471.4317187932</v>
      </c>
      <c r="L51" s="311"/>
      <c r="M51" s="292"/>
      <c r="N51" s="288"/>
      <c r="O51" s="288"/>
      <c r="P51" s="115">
        <f>IF(P$37&lt;1000,"",MAX(0,O$15-O$16))</f>
        <v>2337704.189854403</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 ca="1">IF(OR(K$37&lt;1000,K$17&lt;=0),0,MAX(0,K$49-K$50)*K$51)</f>
        <v>0</v>
      </c>
      <c r="L52" s="311"/>
      <c r="M52" s="292"/>
      <c r="N52" s="288"/>
      <c r="O52" s="288"/>
      <c r="P52" s="115">
        <f ca="1">IF(OR(P$37&lt;1000,P$17&lt;=0),0,MAX(0,P$49-P$50)*P$51)</f>
        <v>49091.787986942509</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v>1577.3057121504271</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v>131.8411977899803</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435</v>
      </c>
      <c r="E4" s="149">
        <f>'Pt 1 Summary of Data'!$Q$56+'Pt 1 Summary of Data'!$S$56-'Pt 1 Summary of Data'!$T$56</f>
        <v>460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13</v>
      </c>
      <c r="F6" s="363"/>
      <c r="G6" s="123"/>
      <c r="H6" s="123"/>
      <c r="I6" s="363"/>
      <c r="J6" s="363"/>
      <c r="K6" s="372"/>
    </row>
    <row r="7" spans="2:11" x14ac:dyDescent="0.2">
      <c r="B7" s="155" t="s">
        <v>102</v>
      </c>
      <c r="C7" s="124"/>
      <c r="D7" s="126"/>
      <c r="E7" s="126">
        <v>120</v>
      </c>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 ca="1">'Pt 3 MLR and Rebate Calculation'!$K$52</f>
        <v>0</v>
      </c>
      <c r="E11" s="119">
        <f ca="1">'Pt 3 MLR and Rebate Calculation'!$P$52</f>
        <v>49091.787986942509</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49091.79</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2015-08-17T14:11:49Z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