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4" i="16" l="1"/>
  <c r="H4" i="16"/>
  <c r="G4" i="16"/>
  <c r="F4" i="16"/>
  <c r="E4" i="16"/>
  <c r="D4" i="16"/>
  <c r="C4" i="16"/>
  <c r="AN52" i="10"/>
  <c r="K11" i="16" s="1"/>
  <c r="AB52" i="10"/>
  <c r="H11" i="16" s="1"/>
  <c r="AN51" i="10"/>
  <c r="AB51" i="10"/>
  <c r="P51" i="10"/>
  <c r="AN45" i="10"/>
  <c r="AN47" i="10" s="1"/>
  <c r="AN50" i="10" s="1"/>
  <c r="AM45" i="10"/>
  <c r="AL45" i="10"/>
  <c r="AB45" i="10"/>
  <c r="AB46" i="10" s="1"/>
  <c r="AA45" i="10"/>
  <c r="Z45" i="10"/>
  <c r="Y45" i="10"/>
  <c r="N44" i="10"/>
  <c r="M44" i="10"/>
  <c r="AN41" i="10"/>
  <c r="AB41" i="10"/>
  <c r="AN40" i="10"/>
  <c r="AB40" i="10"/>
  <c r="X40" i="10"/>
  <c r="T40" i="10"/>
  <c r="P40" i="10"/>
  <c r="K40" i="10"/>
  <c r="F40" i="10"/>
  <c r="AN38" i="10"/>
  <c r="AN37" i="10"/>
  <c r="AM37" i="10"/>
  <c r="AB37" i="10"/>
  <c r="AA37" i="10"/>
  <c r="P37" i="10"/>
  <c r="O37" i="10"/>
  <c r="AM17" i="10"/>
  <c r="AL17" i="10"/>
  <c r="AB17" i="10"/>
  <c r="AA17" i="10"/>
  <c r="Z17" i="10"/>
  <c r="Y17" i="10"/>
  <c r="P17" i="10"/>
  <c r="O17" i="10"/>
  <c r="N17" i="10"/>
  <c r="M17" i="10"/>
  <c r="AN16" i="10"/>
  <c r="AM16" i="10"/>
  <c r="AB16" i="10"/>
  <c r="AA16" i="10"/>
  <c r="X16" i="10"/>
  <c r="W16" i="10"/>
  <c r="T16" i="10"/>
  <c r="S16" i="10"/>
  <c r="P16" i="10"/>
  <c r="O16" i="10"/>
  <c r="L16" i="10"/>
  <c r="K16" i="10"/>
  <c r="J16" i="10"/>
  <c r="G16" i="10"/>
  <c r="F16" i="10"/>
  <c r="E16" i="10"/>
  <c r="AN15" i="10"/>
  <c r="AN17" i="10" s="1"/>
  <c r="AM15" i="10"/>
  <c r="AB15" i="10"/>
  <c r="AA15" i="10"/>
  <c r="X15" i="10"/>
  <c r="W15" i="10"/>
  <c r="T15" i="10"/>
  <c r="S15" i="10"/>
  <c r="P15" i="10"/>
  <c r="O15" i="10"/>
  <c r="L15" i="10"/>
  <c r="AL13" i="10"/>
  <c r="Z13" i="10"/>
  <c r="Y13" i="10"/>
  <c r="N12" i="10"/>
  <c r="M12" i="10"/>
  <c r="K11" i="10"/>
  <c r="J11" i="10"/>
  <c r="F11" i="10"/>
  <c r="E11" i="10"/>
  <c r="L10" i="10"/>
  <c r="K10" i="10"/>
  <c r="J10" i="10"/>
  <c r="G10" i="10"/>
  <c r="F10" i="10"/>
  <c r="E10" i="10"/>
  <c r="G9" i="10"/>
  <c r="F9" i="10"/>
  <c r="E9" i="10"/>
  <c r="F8" i="10"/>
  <c r="AN7" i="10"/>
  <c r="AM7" i="10"/>
  <c r="AB7" i="10"/>
  <c r="AA7" i="10"/>
  <c r="X7" i="10"/>
  <c r="W7" i="10"/>
  <c r="T7" i="10"/>
  <c r="S7" i="10"/>
  <c r="P7" i="10"/>
  <c r="O7" i="10"/>
  <c r="L7" i="10"/>
  <c r="W6" i="10"/>
  <c r="G6" i="10"/>
  <c r="AS22" i="4"/>
  <c r="AR22" i="4"/>
  <c r="AP22" i="4"/>
  <c r="AN22" i="4"/>
  <c r="AC22" i="4"/>
  <c r="AB22" i="4"/>
  <c r="AA6" i="10" s="1"/>
  <c r="AA22" i="4"/>
  <c r="Z22" i="4"/>
  <c r="Y22" i="4"/>
  <c r="X22" i="4"/>
  <c r="V22" i="4"/>
  <c r="S6" i="10" s="1"/>
  <c r="U22" i="4"/>
  <c r="T22" i="4"/>
  <c r="S22" i="4"/>
  <c r="Q22" i="4"/>
  <c r="P22" i="4"/>
  <c r="N22" i="4"/>
  <c r="K22" i="4"/>
  <c r="J6" i="10" s="1"/>
  <c r="K6" i="10" s="1"/>
  <c r="J22" i="4"/>
  <c r="I22" i="4"/>
  <c r="G22" i="4"/>
  <c r="E22" i="4"/>
  <c r="E6" i="10" s="1"/>
  <c r="F6" i="10" s="1"/>
  <c r="AU54" i="18"/>
  <c r="AT54" i="18"/>
  <c r="AT12" i="4" s="1"/>
  <c r="AS54" i="18"/>
  <c r="AR54" i="18"/>
  <c r="AQ54" i="18"/>
  <c r="AQ12" i="4" s="1"/>
  <c r="AP54" i="18"/>
  <c r="AP12" i="4" s="1"/>
  <c r="AO54" i="18"/>
  <c r="AO12" i="4" s="1"/>
  <c r="AN54" i="18"/>
  <c r="AC54" i="18"/>
  <c r="AC12" i="4" s="1"/>
  <c r="AB54" i="18"/>
  <c r="AB12" i="4" s="1"/>
  <c r="AA54" i="18"/>
  <c r="AA12" i="4" s="1"/>
  <c r="Z54" i="18"/>
  <c r="Y54" i="18"/>
  <c r="Y12" i="4" s="1"/>
  <c r="X54" i="18"/>
  <c r="X12" i="4" s="1"/>
  <c r="W54" i="18"/>
  <c r="W12" i="4" s="1"/>
  <c r="V54" i="18"/>
  <c r="V12" i="4" s="1"/>
  <c r="U54" i="18"/>
  <c r="U12" i="4" s="1"/>
  <c r="T54" i="18"/>
  <c r="S54" i="18"/>
  <c r="R54" i="18"/>
  <c r="Q54" i="18"/>
  <c r="Q12" i="4" s="1"/>
  <c r="P54" i="18"/>
  <c r="P12" i="4" s="1"/>
  <c r="O54" i="18"/>
  <c r="O12" i="4" s="1"/>
  <c r="N54" i="18"/>
  <c r="M54" i="18"/>
  <c r="L54" i="18"/>
  <c r="L12" i="4" s="1"/>
  <c r="K54" i="18"/>
  <c r="K12" i="4" s="1"/>
  <c r="J54" i="18"/>
  <c r="J12" i="4" s="1"/>
  <c r="I54" i="18"/>
  <c r="I12" i="4" s="1"/>
  <c r="H54" i="18"/>
  <c r="G54" i="18"/>
  <c r="F54" i="18"/>
  <c r="F12" i="4" s="1"/>
  <c r="E54" i="18"/>
  <c r="E12" i="4"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Q22" i="4"/>
  <c r="AM6" i="10" s="1"/>
  <c r="AO22" i="4"/>
  <c r="W22" i="4"/>
  <c r="R22" i="4"/>
  <c r="O22" i="4"/>
  <c r="L6" i="10" s="1"/>
  <c r="M22" i="4"/>
  <c r="L22" i="4"/>
  <c r="H22" i="4"/>
  <c r="F22" i="4"/>
  <c r="D22" i="4"/>
  <c r="AU12" i="4"/>
  <c r="AS12" i="4"/>
  <c r="AR12" i="4"/>
  <c r="AN12" i="4"/>
  <c r="Z12" i="4"/>
  <c r="T12" i="4"/>
  <c r="S12" i="4"/>
  <c r="R12" i="4"/>
  <c r="N12" i="4"/>
  <c r="M12" i="4"/>
  <c r="H12" i="4"/>
  <c r="G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G15" i="10" s="1"/>
  <c r="H5" i="4"/>
  <c r="G5" i="4"/>
  <c r="F5" i="4"/>
  <c r="E5" i="4"/>
  <c r="D5" i="4"/>
  <c r="O6" i="10" l="1"/>
  <c r="O12" i="10" s="1"/>
  <c r="J15" i="10"/>
  <c r="K15" i="10" s="1"/>
  <c r="E15" i="10"/>
  <c r="L25" i="10"/>
  <c r="L19" i="10"/>
  <c r="L28" i="10"/>
  <c r="L29" i="10"/>
  <c r="L21" i="10"/>
  <c r="L20" i="10"/>
  <c r="AM13" i="10"/>
  <c r="AN13" i="10" s="1"/>
  <c r="AN6" i="10"/>
  <c r="AB6" i="10"/>
  <c r="AA13" i="10"/>
  <c r="S17" i="10"/>
  <c r="T6" i="10"/>
  <c r="T17" i="10"/>
  <c r="R17" i="10"/>
  <c r="R45" i="10" s="1"/>
  <c r="Q13" i="10"/>
  <c r="Q17" i="10"/>
  <c r="Q45" i="10" s="1"/>
  <c r="S37" i="10"/>
  <c r="X6" i="10"/>
  <c r="W17" i="10" s="1"/>
  <c r="S13" i="10"/>
  <c r="AN46" i="10"/>
  <c r="V13" i="10"/>
  <c r="X17" i="10"/>
  <c r="AB13" i="10"/>
  <c r="W37" i="10"/>
  <c r="W13" i="10"/>
  <c r="F15" i="10"/>
  <c r="G7" i="10"/>
  <c r="G20" i="10" s="1"/>
  <c r="J7" i="10"/>
  <c r="G25" i="10"/>
  <c r="AB47" i="10"/>
  <c r="AB50" i="10" s="1"/>
  <c r="AB38" i="10"/>
  <c r="T13" i="10"/>
  <c r="U13" i="10"/>
  <c r="R13" i="10"/>
  <c r="E7" i="10"/>
  <c r="P6" i="10" l="1"/>
  <c r="O44" i="10"/>
  <c r="P38" i="10" s="1"/>
  <c r="P41" i="10" s="1"/>
  <c r="P46" i="10" s="1"/>
  <c r="P47" i="10" s="1"/>
  <c r="P50" i="10" s="1"/>
  <c r="P52" i="10" s="1"/>
  <c r="E11" i="16" s="1"/>
  <c r="P12" i="10"/>
  <c r="P44" i="10" s="1"/>
  <c r="G28" i="10"/>
  <c r="G29" i="10"/>
  <c r="T37" i="10"/>
  <c r="S45" i="10"/>
  <c r="V17" i="10"/>
  <c r="V45" i="10" s="1"/>
  <c r="U17" i="10"/>
  <c r="L24" i="10"/>
  <c r="L23" i="10" s="1"/>
  <c r="L27" i="10" s="1"/>
  <c r="L31" i="10" s="1"/>
  <c r="L32" i="10" s="1"/>
  <c r="L33" i="10" s="1"/>
  <c r="X37" i="10"/>
  <c r="W45" i="10"/>
  <c r="G19" i="10"/>
  <c r="G24" i="10" s="1"/>
  <c r="G23" i="10" s="1"/>
  <c r="G27" i="10" s="1"/>
  <c r="F7" i="10"/>
  <c r="D17" i="10" s="1"/>
  <c r="D44" i="10" s="1"/>
  <c r="K7" i="10"/>
  <c r="J12" i="10" s="1"/>
  <c r="H12" i="10"/>
  <c r="C12" i="10"/>
  <c r="L26" i="10"/>
  <c r="L30" i="10" s="1"/>
  <c r="I12" i="10" l="1"/>
  <c r="H17" i="10"/>
  <c r="H44" i="10" s="1"/>
  <c r="C17" i="10"/>
  <c r="C44" i="10" s="1"/>
  <c r="G26" i="10"/>
  <c r="G30" i="10" s="1"/>
  <c r="J37" i="10"/>
  <c r="J44" i="10" s="1"/>
  <c r="E37" i="10"/>
  <c r="E12" i="10"/>
  <c r="E17" i="10"/>
  <c r="E44" i="10" s="1"/>
  <c r="D12" i="10"/>
  <c r="F12" i="10" s="1"/>
  <c r="K17" i="10"/>
  <c r="F17" i="10"/>
  <c r="I17" i="10"/>
  <c r="J17" i="10"/>
  <c r="U45" i="10"/>
  <c r="X13" i="10"/>
  <c r="X52" i="10"/>
  <c r="G11" i="16" s="1"/>
  <c r="X51" i="10"/>
  <c r="X38" i="10"/>
  <c r="X41" i="10"/>
  <c r="X45" i="10"/>
  <c r="T41" i="10"/>
  <c r="T52" i="10"/>
  <c r="F11" i="16" s="1"/>
  <c r="T51" i="10"/>
  <c r="T45" i="10"/>
  <c r="T38" i="10"/>
  <c r="G31" i="10"/>
  <c r="G32" i="10" s="1"/>
  <c r="G33" i="10" s="1"/>
  <c r="K37" i="10"/>
  <c r="F37" i="10"/>
  <c r="G21" i="10"/>
  <c r="K12" i="10" l="1"/>
  <c r="K44" i="10" s="1"/>
  <c r="I44" i="10"/>
  <c r="T47" i="10"/>
  <c r="T50" i="10" s="1"/>
  <c r="T46" i="10"/>
  <c r="X47" i="10"/>
  <c r="X50" i="10" s="1"/>
  <c r="X46" i="10"/>
  <c r="F38" i="10"/>
  <c r="F41" i="10" s="1"/>
  <c r="F51" i="10"/>
  <c r="K51" i="10"/>
  <c r="K38" i="10"/>
  <c r="K41" i="10"/>
  <c r="K46" i="10" s="1"/>
  <c r="K47" i="10" s="1"/>
  <c r="K50" i="10" s="1"/>
  <c r="D11" i="16" s="1"/>
  <c r="F44" i="10"/>
  <c r="F46" i="10" l="1"/>
  <c r="F47" i="10" s="1"/>
  <c r="F50" i="10" s="1"/>
  <c r="F52" i="10" s="1"/>
  <c r="C11" i="16" s="1"/>
</calcChain>
</file>

<file path=xl/sharedStrings.xml><?xml version="1.0" encoding="utf-8"?>
<sst xmlns="http://schemas.openxmlformats.org/spreadsheetml/2006/main" count="633" uniqueCount="533">
  <si>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</si>
  <si>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</si>
  <si>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</si>
  <si>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</si>
  <si>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</si>
  <si>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</si>
  <si>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</si>
  <si>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</si>
  <si>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</si>
  <si>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</si>
  <si>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</si>
  <si>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</si>
  <si>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</si>
  <si>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</si>
  <si>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</si>
  <si>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</si>
  <si>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</si>
  <si>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</si>
  <si>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</si>
  <si>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</si>
  <si>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</si>
  <si>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</si>
  <si>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</si>
  <si>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</si>
  <si>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</si>
  <si>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</si>
  <si>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</si>
  <si>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</si>
  <si>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</si>
  <si>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</si>
  <si>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</si>
  <si>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</si>
  <si>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</si>
  <si>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</si>
  <si>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</si>
  <si>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</si>
  <si>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</si>
  <si>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</si>
  <si>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</si>
  <si>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</si>
  <si>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</si>
  <si>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</si>
  <si>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</si>
  <si>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</si>
  <si>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</si>
  <si>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</si>
  <si>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</si>
  <si>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</si>
  <si>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</si>
  <si>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</si>
  <si>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</si>
  <si>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</si>
  <si>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</si>
  <si>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</si>
  <si>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</si>
  <si>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</si>
  <si>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</si>
  <si>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</si>
  <si>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</si>
  <si>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</si>
  <si>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</si>
  <si>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</si>
  <si>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</si>
  <si>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</si>
  <si>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</si>
  <si>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</si>
  <si>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</si>
  <si>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</si>
  <si>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</si>
  <si>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</si>
  <si>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</si>
  <si>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</si>
  <si>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</si>
  <si>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</si>
  <si>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</si>
  <si>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</si>
  <si>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</si>
  <si>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</si>
  <si>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</si>
  <si>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</si>
  <si>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</si>
  <si>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</si>
  <si>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</si>
  <si>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</si>
  <si>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</si>
  <si>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</si>
  <si>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</si>
  <si>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</si>
  <si>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</si>
  <si>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</si>
  <si>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</si>
  <si>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</si>
  <si>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</si>
  <si>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</si>
  <si>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</si>
  <si>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</si>
  <si>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</si>
  <si>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</si>
  <si>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</si>
  <si>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</si>
  <si>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</si>
  <si>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</si>
  <si>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</si>
  <si>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</si>
  <si>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</si>
  <si>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</si>
  <si>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</si>
  <si>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</si>
  <si>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</si>
  <si>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</si>
  <si>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</si>
  <si>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</si>
  <si>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</si>
  <si>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</si>
  <si>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</si>
  <si>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</si>
  <si>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</si>
  <si>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</si>
  <si>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</si>
  <si>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</si>
  <si>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</si>
  <si>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</si>
  <si>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</si>
  <si>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</si>
  <si>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</si>
  <si>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</si>
  <si>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</si>
  <si>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</si>
  <si>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</si>
  <si>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</si>
  <si>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</si>
  <si>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</si>
  <si>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</si>
  <si>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</si>
  <si>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</si>
  <si>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</si>
  <si>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</si>
  <si>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</si>
  <si>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</si>
  <si>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</si>
  <si>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</si>
  <si>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</si>
  <si>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</si>
  <si>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</si>
  <si>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</si>
  <si>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</si>
  <si>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</si>
  <si>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</si>
  <si>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</si>
  <si>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</si>
  <si>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</si>
  <si>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</si>
  <si>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</si>
  <si>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</si>
  <si>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</si>
  <si>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</si>
  <si>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</si>
  <si>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</si>
  <si>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</si>
  <si>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</si>
  <si>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</si>
  <si>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</si>
  <si>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</si>
  <si>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</si>
  <si>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</si>
  <si>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</si>
  <si>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</si>
  <si>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</si>
  <si>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</si>
  <si>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</si>
  <si>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</si>
  <si>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</si>
  <si>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</si>
  <si>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</si>
  <si>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</si>
  <si>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</si>
  <si>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</si>
  <si>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</si>
  <si>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</si>
  <si>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</si>
  <si>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</si>
  <si>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</si>
  <si>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</si>
  <si>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</si>
  <si>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</si>
  <si>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</si>
  <si>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</si>
  <si>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</si>
  <si>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</si>
  <si>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</si>
  <si>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</si>
  <si>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</si>
  <si>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</si>
  <si>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</si>
  <si>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</si>
  <si>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</si>
  <si>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</si>
  <si>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</si>
  <si>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</si>
  <si>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</si>
  <si>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</si>
  <si>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</si>
  <si>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</si>
  <si>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</si>
  <si>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</si>
  <si>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</si>
  <si>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</si>
  <si>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</si>
  <si>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</si>
  <si>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</si>
  <si>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</si>
  <si>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</si>
  <si>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</si>
  <si>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</si>
  <si>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</si>
  <si>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</si>
  <si>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</si>
  <si>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</si>
  <si>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</si>
  <si>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</si>
  <si>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</si>
  <si>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</si>
  <si>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</si>
  <si>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</si>
  <si>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</si>
  <si>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</si>
  <si>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</si>
  <si>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</si>
  <si>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</si>
  <si>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</si>
  <si>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</si>
  <si>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</si>
  <si>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</si>
  <si>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</si>
  <si>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</si>
  <si>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</si>
  <si>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</si>
  <si>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</si>
  <si>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</si>
  <si>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</si>
  <si>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</si>
  <si>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</si>
  <si>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</si>
  <si>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</si>
  <si>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</si>
  <si>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</si>
  <si>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</si>
  <si>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</si>
  <si>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</si>
  <si>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</si>
  <si>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</si>
  <si>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</si>
  <si>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</si>
  <si>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</si>
  <si>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</si>
  <si>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</si>
  <si>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</si>
  <si>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</si>
  <si>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</si>
  <si>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</si>
  <si>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</si>
  <si>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</si>
  <si>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</si>
  <si>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</si>
  <si>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</si>
  <si>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</si>
  <si>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</si>
  <si>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</si>
  <si>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</si>
  <si>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</si>
  <si>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</si>
  <si>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</si>
  <si>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</si>
  <si>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</si>
  <si>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</si>
  <si>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</si>
  <si>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</si>
  <si>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</si>
  <si>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</si>
  <si>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</si>
  <si>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</si>
  <si>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</si>
  <si>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</si>
  <si>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</si>
  <si>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</si>
  <si>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</si>
  <si>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</si>
  <si>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</si>
  <si>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</si>
  <si>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</si>
  <si>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</si>
  <si>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</si>
  <si>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</si>
  <si>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</si>
  <si>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</si>
  <si>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</si>
  <si>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</si>
  <si>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</si>
  <si>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</si>
  <si>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</si>
  <si>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</si>
  <si>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</si>
  <si>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</si>
  <si>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</si>
  <si>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</si>
  <si>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</si>
  <si>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</si>
  <si>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</si>
  <si>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</si>
  <si>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</si>
  <si>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</si>
  <si>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</si>
  <si>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</si>
  <si>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</si>
  <si>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</si>
  <si>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</si>
  <si>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</si>
  <si>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</si>
  <si>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</si>
  <si>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</si>
  <si>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</si>
  <si>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</si>
  <si>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</si>
  <si>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</si>
  <si>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</si>
  <si>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</si>
  <si>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</si>
  <si>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</si>
  <si>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</si>
  <si>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</si>
  <si>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</si>
  <si>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</si>
  <si>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</si>
  <si>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</si>
  <si>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</si>
  <si>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</si>
  <si>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</si>
  <si>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</si>
  <si>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</si>
  <si>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</si>
  <si>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</si>
  <si>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</si>
  <si>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</si>
  <si>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</si>
  <si>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</si>
  <si>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</si>
  <si>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</si>
  <si>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</si>
  <si>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</si>
  <si>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</si>
  <si>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</si>
  <si>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</si>
  <si>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</si>
  <si>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</si>
  <si>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</si>
  <si>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</si>
  <si>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</si>
  <si>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</si>
  <si>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</si>
  <si>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</si>
  <si>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</si>
  <si>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</si>
  <si>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</si>
  <si>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</si>
  <si>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</si>
  <si>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</si>
  <si>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</si>
  <si>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</si>
  <si>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</si>
  <si>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</si>
  <si>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</si>
  <si>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</si>
  <si>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</si>
  <si>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</si>
  <si>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</si>
  <si>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</si>
  <si>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</si>
  <si>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</si>
  <si>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</si>
  <si>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</si>
  <si>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</si>
  <si>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</si>
  <si>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</si>
  <si>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</si>
  <si>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</si>
  <si>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</si>
  <si>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</si>
  <si>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</si>
  <si>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</si>
  <si>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</si>
  <si>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</si>
  <si>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</si>
  <si>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</si>
  <si>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</si>
  <si>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</si>
  <si>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</si>
  <si>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</si>
  <si>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</si>
  <si>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</si>
  <si>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</si>
  <si>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</si>
  <si>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</si>
  <si>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</si>
  <si>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</si>
  <si>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</si>
  <si>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</si>
  <si>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</si>
  <si>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</si>
  <si>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</si>
  <si>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</si>
  <si>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</si>
  <si>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</si>
  <si>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</si>
  <si>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</si>
  <si>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</si>
  <si>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</si>
  <si>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</si>
  <si>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</si>
  <si>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</si>
  <si>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</si>
  <si>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</si>
  <si>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</si>
  <si>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</si>
  <si>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</si>
  <si>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</si>
  <si>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</si>
  <si>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</si>
  <si>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</si>
  <si>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</si>
  <si>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</si>
  <si>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</si>
  <si>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</si>
  <si>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</si>
  <si>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</si>
  <si>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</si>
  <si>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</si>
  <si>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</si>
  <si>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</si>
  <si>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</si>
  <si>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</si>
  <si>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</si>
  <si>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</si>
  <si>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</si>
  <si>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</si>
  <si>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</si>
  <si>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</si>
  <si>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</si>
  <si>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</si>
  <si>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</si>
  <si>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</si>
  <si>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</si>
  <si>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</si>
  <si>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</si>
  <si>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</si>
  <si>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</si>
  <si>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</si>
  <si>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</si>
  <si>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</si>
  <si>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</si>
  <si>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</si>
  <si>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</si>
  <si>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</si>
  <si>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</si>
  <si>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</si>
  <si>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</si>
  <si>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</si>
  <si>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</si>
  <si>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</si>
  <si>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</si>
  <si>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</si>
  <si>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</si>
  <si>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</si>
  <si>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</si>
  <si>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</si>
  <si>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</si>
  <si>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</si>
  <si>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</si>
  <si>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</si>
  <si>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</si>
  <si>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</si>
  <si>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</si>
  <si>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</si>
  <si>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</si>
  <si>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</si>
  <si>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</si>
  <si>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</si>
  <si>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</si>
  <si>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</si>
  <si>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</si>
  <si>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</si>
  <si>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</si>
  <si>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</si>
  <si>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</si>
  <si>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</si>
  <si>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of Ohio, Inc.</t>
  </si>
  <si>
    <t>HUMANA GRP</t>
  </si>
  <si>
    <t>Humana</t>
  </si>
  <si>
    <t>119</t>
  </si>
  <si>
    <t>2014</t>
  </si>
  <si>
    <t>640 Eden Park Drive Cincinnati, OH 45202</t>
  </si>
  <si>
    <t>311154200</t>
  </si>
  <si>
    <t>095348</t>
  </si>
  <si>
    <t>95348</t>
  </si>
  <si>
    <t>216</t>
  </si>
  <si>
    <t>Humana Insurance Company</t>
  </si>
  <si>
    <t>Humana Employers Health Plan of Georgia, Inc.</t>
  </si>
  <si>
    <t>Humana Health Plan, Inc.</t>
  </si>
  <si>
    <t>Humana Insurance Company of Kentucky</t>
  </si>
  <si>
    <t>Humana Insurance of Puerto Rico, Inc.</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</si>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</sst>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176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M4" activePane="bottomRight" state="frozen"/>
      <selection activeCell="B1" sqref="B1"/>
      <selection pane="topRight" activeCell="B1" sqref="B1"/>
      <selection pane="bottomLeft" activeCell="B1" sqref="B1"/>
      <selection pane="bottomRight" activeCell="Q12" sqref="Q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34620790</v>
      </c>
      <c r="E5" s="106">
        <f>SUM('Pt 2 Premium and Claims'!E$5,'Pt 2 Premium and Claims'!E$6,-'Pt 2 Premium and Claims'!E$7,-'Pt 2 Premium and Claims'!E$13,'Pt 2 Premium and Claims'!E$14:'Pt 2 Premium and Claims'!E$17)</f>
        <v>50157863.936282501</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40974301</v>
      </c>
      <c r="J5" s="105">
        <f>SUM('Pt 2 Premium and Claims'!J$5,'Pt 2 Premium and Claims'!J$6,-'Pt 2 Premium and Claims'!J$7,-'Pt 2 Premium and Claims'!J$13,'Pt 2 Premium and Claims'!J$14,'Pt 2 Premium and Claims'!J$16:'Pt 2 Premium and Claims'!J$17)</f>
        <v>106977867</v>
      </c>
      <c r="K5" s="106">
        <f>SUM('Pt 2 Premium and Claims'!K$5,'Pt 2 Premium and Claims'!K$6,-'Pt 2 Premium and Claims'!K$7,-'Pt 2 Premium and Claims'!K$13,'Pt 2 Premium and Claims'!K$14,'Pt 2 Premium and Claims'!K$16:'Pt 2 Premium and Claims'!K$17)</f>
        <v>117158485.3381767</v>
      </c>
      <c r="L5" s="106">
        <f>SUM('Pt 2 Premium and Claims'!L$5,'Pt 2 Premium and Claims'!L$6,-'Pt 2 Premium and Claims'!L$7,-'Pt 2 Premium and Claims'!L$13,'Pt 2 Premium and Claims'!L$14,'Pt 2 Premium and Claims'!L$16:'Pt 2 Premium and Claims'!L$17)</f>
        <v>12253359.59</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81108702</v>
      </c>
      <c r="Q5" s="106">
        <f>SUM('Pt 2 Premium and Claims'!Q$5,'Pt 2 Premium and Claims'!Q$6,-'Pt 2 Premium and Claims'!Q$7,-'Pt 2 Premium and Claims'!Q$13,'Pt 2 Premium and Claims'!Q$14)</f>
        <v>91271117.543492988</v>
      </c>
      <c r="R5" s="106">
        <f>SUM('Pt 2 Premium and Claims'!R$5,'Pt 2 Premium and Claims'!R$6,-'Pt 2 Premium and Claims'!R$7,-'Pt 2 Premium and Claims'!R$13,'Pt 2 Premium and Claims'!R$14)</f>
        <v>7415828.6899999995</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f>SUM('Pt 2 Premium and Claims'!AN$5,'Pt 2 Premium and Claims'!AN$6,-'Pt 2 Premium and Claims'!AN$7,-'Pt 2 Premium and Claims'!AN$13,'Pt 2 Premium and Claims'!AN$14)</f>
        <v>0</v>
      </c>
      <c r="AO5" s="106">
        <f>SUM('Pt 2 Premium and Claims'!AO$5,'Pt 2 Premium and Claims'!AO$6,-'Pt 2 Premium and Claims'!AO$7,-'Pt 2 Premium and Claims'!AO$13,'Pt 2 Premium and Claims'!AO$14)</f>
        <v>0</v>
      </c>
      <c r="AP5" s="106">
        <f>SUM('Pt 2 Premium and Claims'!AP$5,'Pt 2 Premium and Claims'!AP$6,-'Pt 2 Premium and Claims'!AP$7,-'Pt 2 Premium and Claims'!AP$13,'Pt 2 Premium and Claims'!AP$14)</f>
        <v>0</v>
      </c>
      <c r="AQ5" s="106">
        <f>SUM('Pt 2 Premium and Claims'!AQ$5,'Pt 2 Premium and Claims'!AQ$6,-'Pt 2 Premium and Claims'!AQ$7,-'Pt 2 Premium and Claims'!AQ$13,'Pt 2 Premium and Claims'!AQ$14)</f>
        <v>0</v>
      </c>
      <c r="AR5" s="106">
        <f>SUM('Pt 2 Premium and Claims'!AR$5,'Pt 2 Premium and Claims'!AR$6,-'Pt 2 Premium and Claims'!AR$7,-'Pt 2 Premium and Claims'!AR$13,'Pt 2 Premium and Claims'!AR$14)</f>
        <v>0</v>
      </c>
      <c r="AS5" s="105">
        <f>SUM('Pt 2 Premium and Claims'!AS$5,'Pt 2 Premium and Claims'!AS$6,-'Pt 2 Premium and Claims'!AS$7,-'Pt 2 Premium and Claims'!AS$13,'Pt 2 Premium and Claims'!AS$14)</f>
        <v>269990260</v>
      </c>
      <c r="AT5" s="107">
        <f>SUM('Pt 2 Premium and Claims'!AT$5,'Pt 2 Premium and Claims'!AT$6,-'Pt 2 Premium and Claims'!AT$7,-'Pt 2 Premium and Claims'!AT$13,'Pt 2 Premium and Claims'!AT$14)</f>
        <v>503945</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v>-22799.855852315424</v>
      </c>
      <c r="L7" s="110">
        <v>-22799.855852315424</v>
      </c>
      <c r="M7" s="110"/>
      <c r="N7" s="110"/>
      <c r="O7" s="109"/>
      <c r="P7" s="109"/>
      <c r="Q7" s="110">
        <v>-16202.792195063163</v>
      </c>
      <c r="R7" s="110">
        <v>-16202.792195063163</v>
      </c>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-519033</v>
      </c>
      <c r="E8" s="289"/>
      <c r="F8" s="290"/>
      <c r="G8" s="290"/>
      <c r="H8" s="290"/>
      <c r="I8" s="293"/>
      <c r="J8" s="109">
        <v>-202562</v>
      </c>
      <c r="K8" s="289"/>
      <c r="L8" s="290"/>
      <c r="M8" s="290"/>
      <c r="N8" s="290"/>
      <c r="O8" s="293"/>
      <c r="P8" s="109">
        <v>-120689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39573787</v>
      </c>
      <c r="E12" s="106">
        <f>'Pt 2 Premium and Claims'!E$54</f>
        <v>47386987.321699992</v>
      </c>
      <c r="F12" s="106">
        <f>'Pt 2 Premium and Claims'!F$54</f>
        <v>0</v>
      </c>
      <c r="G12" s="106">
        <f>'Pt 2 Premium and Claims'!G$54</f>
        <v>0</v>
      </c>
      <c r="H12" s="106">
        <f>'Pt 2 Premium and Claims'!H$54</f>
        <v>0</v>
      </c>
      <c r="I12" s="105">
        <f>'Pt 2 Premium and Claims'!I$54</f>
        <v>47098305</v>
      </c>
      <c r="J12" s="105">
        <f>'Pt 2 Premium and Claims'!J$54</f>
        <v>80077874</v>
      </c>
      <c r="K12" s="106">
        <f>'Pt 2 Premium and Claims'!K$54</f>
        <v>85240225.988280877</v>
      </c>
      <c r="L12" s="106">
        <f>'Pt 2 Premium and Claims'!L$54</f>
        <v>9181249.0075000003</v>
      </c>
      <c r="M12" s="106">
        <f>'Pt 2 Premium and Claims'!M$54</f>
        <v>0</v>
      </c>
      <c r="N12" s="106">
        <f>'Pt 2 Premium and Claims'!N$54</f>
        <v>0</v>
      </c>
      <c r="O12" s="105">
        <f>'Pt 2 Premium and Claims'!O$54</f>
        <v>0</v>
      </c>
      <c r="P12" s="105">
        <f>'Pt 2 Premium and Claims'!P$54</f>
        <v>68139399</v>
      </c>
      <c r="Q12" s="106">
        <f>'Pt 2 Premium and Claims'!Q$54</f>
        <v>79553420.533219144</v>
      </c>
      <c r="R12" s="106">
        <f>'Pt 2 Premium and Claims'!R$54</f>
        <v>6392926.0063999994</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f>'Pt 2 Premium and Claims'!AN$54</f>
        <v>0</v>
      </c>
      <c r="AO12" s="106">
        <f>'Pt 2 Premium and Claims'!AO$54</f>
        <v>0</v>
      </c>
      <c r="AP12" s="106">
        <f>'Pt 2 Premium and Claims'!AP$54</f>
        <v>0</v>
      </c>
      <c r="AQ12" s="106">
        <f>'Pt 2 Premium and Claims'!AQ$54</f>
        <v>0</v>
      </c>
      <c r="AR12" s="106">
        <f>'Pt 2 Premium and Claims'!AR$54</f>
        <v>0</v>
      </c>
      <c r="AS12" s="105">
        <f>'Pt 2 Premium and Claims'!AS$54</f>
        <v>247206330</v>
      </c>
      <c r="AT12" s="107">
        <f>'Pt 2 Premium and Claims'!AT$54</f>
        <v>267452</v>
      </c>
      <c r="AU12" s="107">
        <f>'Pt 2 Premium and Claims'!AU$54</f>
        <v>0</v>
      </c>
      <c r="AV12" s="312"/>
      <c r="AW12" s="317"/>
    </row>
    <row r="13" spans="1:49" ht="25.5" x14ac:dyDescent="0.2">
      <c r="B13" s="155" t="s">
        <v>230</v>
      </c>
      <c r="C13" s="62" t="s">
        <v>37</v>
      </c>
      <c r="D13" s="109">
        <v>4260266</v>
      </c>
      <c r="E13" s="110">
        <v>4748464.7700000005</v>
      </c>
      <c r="F13" s="110"/>
      <c r="G13" s="289"/>
      <c r="H13" s="290"/>
      <c r="I13" s="109">
        <v>4748465</v>
      </c>
      <c r="J13" s="109">
        <v>16362640</v>
      </c>
      <c r="K13" s="110">
        <v>15764641.513321988</v>
      </c>
      <c r="L13" s="110"/>
      <c r="M13" s="289"/>
      <c r="N13" s="290"/>
      <c r="O13" s="109"/>
      <c r="P13" s="109">
        <v>13106517</v>
      </c>
      <c r="Q13" s="110">
        <v>13823154.626678016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30403400</v>
      </c>
      <c r="AT13" s="113"/>
      <c r="AU13" s="113"/>
      <c r="AV13" s="311"/>
      <c r="AW13" s="318"/>
    </row>
    <row r="14" spans="1:49" ht="25.5" x14ac:dyDescent="0.2">
      <c r="B14" s="155" t="s">
        <v>231</v>
      </c>
      <c r="C14" s="62" t="s">
        <v>6</v>
      </c>
      <c r="D14" s="109">
        <v>184603</v>
      </c>
      <c r="E14" s="110">
        <v>192922.39</v>
      </c>
      <c r="F14" s="110"/>
      <c r="G14" s="288"/>
      <c r="H14" s="291"/>
      <c r="I14" s="109">
        <v>192922</v>
      </c>
      <c r="J14" s="109">
        <v>1718204</v>
      </c>
      <c r="K14" s="110">
        <v>1614851.0748407601</v>
      </c>
      <c r="L14" s="110"/>
      <c r="M14" s="288"/>
      <c r="N14" s="291"/>
      <c r="O14" s="109"/>
      <c r="P14" s="109">
        <v>1130084</v>
      </c>
      <c r="Q14" s="110">
        <v>1218192.4651592383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8140669</v>
      </c>
      <c r="AT14" s="113"/>
      <c r="AU14" s="113"/>
      <c r="AV14" s="311"/>
      <c r="AW14" s="318"/>
    </row>
    <row r="15" spans="1:49" ht="38.25" x14ac:dyDescent="0.2">
      <c r="B15" s="155" t="s">
        <v>232</v>
      </c>
      <c r="C15" s="62" t="s">
        <v>7</v>
      </c>
      <c r="D15" s="109">
        <v>3145</v>
      </c>
      <c r="E15" s="110">
        <v>3145</v>
      </c>
      <c r="F15" s="110"/>
      <c r="G15" s="288"/>
      <c r="H15" s="294"/>
      <c r="I15" s="109">
        <v>3137</v>
      </c>
      <c r="J15" s="109">
        <v>7493</v>
      </c>
      <c r="K15" s="110">
        <v>7493</v>
      </c>
      <c r="L15" s="110"/>
      <c r="M15" s="288"/>
      <c r="N15" s="294"/>
      <c r="O15" s="109"/>
      <c r="P15" s="109">
        <v>5393</v>
      </c>
      <c r="Q15" s="110">
        <v>5393</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18787</v>
      </c>
      <c r="AT15" s="113">
        <v>38</v>
      </c>
      <c r="AU15" s="113"/>
      <c r="AV15" s="311"/>
      <c r="AW15" s="318"/>
    </row>
    <row r="16" spans="1:49" ht="25.5" x14ac:dyDescent="0.2">
      <c r="B16" s="155" t="s">
        <v>233</v>
      </c>
      <c r="C16" s="62" t="s">
        <v>61</v>
      </c>
      <c r="D16" s="109">
        <v>-10516602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-530000</v>
      </c>
      <c r="E17" s="288"/>
      <c r="F17" s="291"/>
      <c r="G17" s="291"/>
      <c r="H17" s="291"/>
      <c r="I17" s="292"/>
      <c r="J17" s="109">
        <v>-343115</v>
      </c>
      <c r="K17" s="288"/>
      <c r="L17" s="291"/>
      <c r="M17" s="291"/>
      <c r="N17" s="291"/>
      <c r="O17" s="292"/>
      <c r="P17" s="109">
        <v>2374744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13901539</v>
      </c>
      <c r="AT17" s="113"/>
      <c r="AU17" s="113"/>
      <c r="AV17" s="311"/>
      <c r="AW17" s="318"/>
    </row>
    <row r="18" spans="1:49" x14ac:dyDescent="0.2">
      <c r="B18" s="155" t="s">
        <v>235</v>
      </c>
      <c r="C18" s="62" t="s">
        <v>63</v>
      </c>
      <c r="D18" s="109"/>
      <c r="E18" s="288"/>
      <c r="F18" s="291"/>
      <c r="G18" s="291"/>
      <c r="H18" s="294"/>
      <c r="I18" s="292"/>
      <c r="J18" s="109">
        <v>306945</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35348</v>
      </c>
      <c r="K19" s="288"/>
      <c r="L19" s="291"/>
      <c r="M19" s="291"/>
      <c r="N19" s="291"/>
      <c r="O19" s="292"/>
      <c r="P19" s="109">
        <v>95022</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76257</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43435</v>
      </c>
      <c r="E22" s="115">
        <f>'Pt 2 Premium and Claims'!E$55</f>
        <v>43435</v>
      </c>
      <c r="F22" s="115">
        <f>'Pt 2 Premium and Claims'!F$55</f>
        <v>0</v>
      </c>
      <c r="G22" s="115">
        <f>'Pt 2 Premium and Claims'!G$55</f>
        <v>0</v>
      </c>
      <c r="H22" s="115">
        <f>'Pt 2 Premium and Claims'!H$55</f>
        <v>0</v>
      </c>
      <c r="I22" s="114">
        <f>'Pt 2 Premium and Claims'!I$55</f>
        <v>12703</v>
      </c>
      <c r="J22" s="114">
        <f>'Pt 2 Premium and Claims'!J$55</f>
        <v>116738</v>
      </c>
      <c r="K22" s="115">
        <f>'Pt 2 Premium and Claims'!K$55</f>
        <v>121103.53</v>
      </c>
      <c r="L22" s="115">
        <f>'Pt 2 Premium and Claims'!L$55</f>
        <v>0</v>
      </c>
      <c r="M22" s="115">
        <f>'Pt 2 Premium and Claims'!M$55</f>
        <v>0</v>
      </c>
      <c r="N22" s="115">
        <f>'Pt 2 Premium and Claims'!N$55</f>
        <v>0</v>
      </c>
      <c r="O22" s="114">
        <f>'Pt 2 Premium and Claims'!O$55</f>
        <v>0</v>
      </c>
      <c r="P22" s="114">
        <f>'Pt 2 Premium and Claims'!P$55</f>
        <v>99708</v>
      </c>
      <c r="Q22" s="115">
        <f>'Pt 2 Premium and Claims'!Q$55</f>
        <v>110048.88</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f>'Pt 2 Premium and Claims'!AN$55</f>
        <v>0</v>
      </c>
      <c r="AO22" s="115">
        <f>'Pt 2 Premium and Claims'!AO$55</f>
        <v>0</v>
      </c>
      <c r="AP22" s="115">
        <f>'Pt 2 Premium and Claims'!AP$55</f>
        <v>0</v>
      </c>
      <c r="AQ22" s="115">
        <f>'Pt 2 Premium and Claims'!AQ$55</f>
        <v>0</v>
      </c>
      <c r="AR22" s="115">
        <f>'Pt 2 Premium and Claims'!AR$55</f>
        <v>0</v>
      </c>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1174538.2156</v>
      </c>
      <c r="E25" s="110">
        <v>-100453.9244</v>
      </c>
      <c r="F25" s="110"/>
      <c r="G25" s="110"/>
      <c r="H25" s="110"/>
      <c r="I25" s="109">
        <v>-664145</v>
      </c>
      <c r="J25" s="109">
        <v>846658.21270000003</v>
      </c>
      <c r="K25" s="110">
        <v>1880902.4673216918</v>
      </c>
      <c r="L25" s="110">
        <v>1034244.2546216918</v>
      </c>
      <c r="M25" s="110"/>
      <c r="N25" s="110"/>
      <c r="O25" s="109"/>
      <c r="P25" s="109">
        <v>-90755.503469999996</v>
      </c>
      <c r="Q25" s="110">
        <v>-917826.67222484667</v>
      </c>
      <c r="R25" s="110">
        <v>-827071.16875484667</v>
      </c>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-1180236.9064</v>
      </c>
      <c r="AT25" s="113">
        <v>21027.1226088</v>
      </c>
      <c r="AU25" s="113"/>
      <c r="AV25" s="113"/>
      <c r="AW25" s="318"/>
    </row>
    <row r="26" spans="1:49" s="5" customFormat="1" x14ac:dyDescent="0.2">
      <c r="A26" s="35"/>
      <c r="B26" s="158" t="s">
        <v>243</v>
      </c>
      <c r="C26" s="62"/>
      <c r="D26" s="109"/>
      <c r="E26" s="110">
        <v>21493.949999999997</v>
      </c>
      <c r="F26" s="110"/>
      <c r="G26" s="110"/>
      <c r="H26" s="110"/>
      <c r="I26" s="109">
        <v>21448</v>
      </c>
      <c r="J26" s="109"/>
      <c r="K26" s="110">
        <v>60398.882359715091</v>
      </c>
      <c r="L26" s="110">
        <v>6085.2023597150837</v>
      </c>
      <c r="M26" s="110"/>
      <c r="N26" s="110"/>
      <c r="O26" s="109"/>
      <c r="P26" s="109"/>
      <c r="Q26" s="110">
        <v>41257.870903181261</v>
      </c>
      <c r="R26" s="110">
        <v>3523.2309031812597</v>
      </c>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427144.25999999995</v>
      </c>
      <c r="E27" s="110">
        <v>427144.25999999995</v>
      </c>
      <c r="F27" s="110"/>
      <c r="G27" s="110"/>
      <c r="H27" s="110"/>
      <c r="I27" s="109">
        <v>425918</v>
      </c>
      <c r="J27" s="109">
        <v>1355077.2100000002</v>
      </c>
      <c r="K27" s="110">
        <v>1511252.2959553336</v>
      </c>
      <c r="L27" s="110">
        <v>156175.0859553334</v>
      </c>
      <c r="M27" s="110"/>
      <c r="N27" s="110"/>
      <c r="O27" s="109"/>
      <c r="P27" s="109">
        <v>1031541.63</v>
      </c>
      <c r="Q27" s="110">
        <v>1117323.2221295172</v>
      </c>
      <c r="R27" s="110">
        <v>85781.592129517245</v>
      </c>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3349103.6</v>
      </c>
      <c r="AT27" s="113">
        <v>6467.6399999999994</v>
      </c>
      <c r="AU27" s="113"/>
      <c r="AV27" s="314"/>
      <c r="AW27" s="318"/>
    </row>
    <row r="28" spans="1:49" s="5" customFormat="1" x14ac:dyDescent="0.2">
      <c r="A28" s="35"/>
      <c r="B28" s="158" t="s">
        <v>245</v>
      </c>
      <c r="C28" s="62"/>
      <c r="D28" s="109">
        <v>38940.31</v>
      </c>
      <c r="E28" s="110">
        <v>97508.040000000008</v>
      </c>
      <c r="F28" s="110"/>
      <c r="G28" s="110"/>
      <c r="H28" s="110"/>
      <c r="I28" s="109">
        <v>97296</v>
      </c>
      <c r="J28" s="109">
        <v>1710968.41</v>
      </c>
      <c r="K28" s="110">
        <v>239526.69206437946</v>
      </c>
      <c r="L28" s="110">
        <v>22046.442064379524</v>
      </c>
      <c r="M28" s="110"/>
      <c r="N28" s="110"/>
      <c r="O28" s="109"/>
      <c r="P28" s="109">
        <v>1219416.83</v>
      </c>
      <c r="Q28" s="110">
        <v>174561.93833438921</v>
      </c>
      <c r="R28" s="110">
        <v>12648.078334389236</v>
      </c>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33080.300000000003</v>
      </c>
      <c r="AT28" s="113">
        <v>55.68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-6785.5069000000012</v>
      </c>
      <c r="E30" s="110">
        <v>6337.463099999999</v>
      </c>
      <c r="F30" s="110"/>
      <c r="G30" s="110"/>
      <c r="H30" s="110"/>
      <c r="I30" s="109">
        <v>-56872</v>
      </c>
      <c r="J30" s="109">
        <v>104888.39592</v>
      </c>
      <c r="K30" s="110">
        <v>206400.70739656416</v>
      </c>
      <c r="L30" s="110">
        <v>76092.391076564163</v>
      </c>
      <c r="M30" s="110"/>
      <c r="N30" s="110"/>
      <c r="O30" s="109"/>
      <c r="P30" s="109">
        <v>-2791.3381900000036</v>
      </c>
      <c r="Q30" s="110">
        <v>-34039.645475583427</v>
      </c>
      <c r="R30" s="110">
        <v>-54248.104085583422</v>
      </c>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-108135.54582999999</v>
      </c>
      <c r="AT30" s="113">
        <v>2401.1124288599995</v>
      </c>
      <c r="AU30" s="113"/>
      <c r="AV30" s="113"/>
      <c r="AW30" s="318"/>
    </row>
    <row r="31" spans="1:49" x14ac:dyDescent="0.2">
      <c r="B31" s="158" t="s">
        <v>248</v>
      </c>
      <c r="C31" s="62"/>
      <c r="D31" s="109">
        <v>369645.16</v>
      </c>
      <c r="E31" s="110">
        <v>281393.3</v>
      </c>
      <c r="F31" s="110"/>
      <c r="G31" s="110"/>
      <c r="H31" s="110"/>
      <c r="I31" s="109">
        <v>280654</v>
      </c>
      <c r="J31" s="109">
        <v>771478.43960000004</v>
      </c>
      <c r="K31" s="110">
        <v>888258.89354033221</v>
      </c>
      <c r="L31" s="110">
        <v>116780.45394033213</v>
      </c>
      <c r="M31" s="110"/>
      <c r="N31" s="110"/>
      <c r="O31" s="109"/>
      <c r="P31" s="109">
        <v>527683.83319999999</v>
      </c>
      <c r="Q31" s="110">
        <v>589806.07426600752</v>
      </c>
      <c r="R31" s="110">
        <v>62122.241066007504</v>
      </c>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3939.04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530723.05999999994</v>
      </c>
      <c r="F34" s="110"/>
      <c r="G34" s="110"/>
      <c r="H34" s="110"/>
      <c r="I34" s="109">
        <v>529512</v>
      </c>
      <c r="J34" s="109"/>
      <c r="K34" s="110">
        <v>1795270.5306510802</v>
      </c>
      <c r="L34" s="110">
        <v>159783.55065108027</v>
      </c>
      <c r="M34" s="110"/>
      <c r="N34" s="110"/>
      <c r="O34" s="109"/>
      <c r="P34" s="109"/>
      <c r="Q34" s="110">
        <v>1274819.7737602345</v>
      </c>
      <c r="R34" s="110">
        <v>104460.95376023473</v>
      </c>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28996.930000000004</v>
      </c>
      <c r="E35" s="110">
        <v>1314163.3999999999</v>
      </c>
      <c r="F35" s="110"/>
      <c r="G35" s="110"/>
      <c r="H35" s="110"/>
      <c r="I35" s="109">
        <v>1314099</v>
      </c>
      <c r="J35" s="109">
        <v>65028.21</v>
      </c>
      <c r="K35" s="110">
        <v>77534.56500803442</v>
      </c>
      <c r="L35" s="110">
        <v>7099.7650080344192</v>
      </c>
      <c r="M35" s="110"/>
      <c r="N35" s="110"/>
      <c r="O35" s="109"/>
      <c r="P35" s="109">
        <v>48272.45</v>
      </c>
      <c r="Q35" s="110">
        <v>51903.572840966604</v>
      </c>
      <c r="R35" s="110">
        <v>3631.16284096661</v>
      </c>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164407.51</v>
      </c>
      <c r="AT35" s="113">
        <v>335.77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87085</v>
      </c>
      <c r="E37" s="118">
        <v>87085.140000000014</v>
      </c>
      <c r="F37" s="118"/>
      <c r="G37" s="118"/>
      <c r="H37" s="118"/>
      <c r="I37" s="117">
        <v>86793</v>
      </c>
      <c r="J37" s="117">
        <v>485575</v>
      </c>
      <c r="K37" s="118">
        <v>513791.97999999992</v>
      </c>
      <c r="L37" s="118">
        <v>28218.38</v>
      </c>
      <c r="M37" s="118"/>
      <c r="N37" s="118"/>
      <c r="O37" s="117"/>
      <c r="P37" s="117">
        <v>329197</v>
      </c>
      <c r="Q37" s="118">
        <v>344525.92</v>
      </c>
      <c r="R37" s="118">
        <v>15330.119999999999</v>
      </c>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2320178</v>
      </c>
      <c r="AT37" s="119"/>
      <c r="AU37" s="119"/>
      <c r="AV37" s="119"/>
      <c r="AW37" s="317"/>
    </row>
    <row r="38" spans="1:49" x14ac:dyDescent="0.2">
      <c r="B38" s="155" t="s">
        <v>255</v>
      </c>
      <c r="C38" s="62" t="s">
        <v>16</v>
      </c>
      <c r="D38" s="109">
        <v>21410</v>
      </c>
      <c r="E38" s="110">
        <v>21410.05</v>
      </c>
      <c r="F38" s="110"/>
      <c r="G38" s="110"/>
      <c r="H38" s="110"/>
      <c r="I38" s="109">
        <v>21255</v>
      </c>
      <c r="J38" s="109">
        <v>173104</v>
      </c>
      <c r="K38" s="110">
        <v>193383.26</v>
      </c>
      <c r="L38" s="110">
        <v>20280.440000000002</v>
      </c>
      <c r="M38" s="110"/>
      <c r="N38" s="110"/>
      <c r="O38" s="109"/>
      <c r="P38" s="109">
        <v>118715</v>
      </c>
      <c r="Q38" s="110">
        <v>129658.61000000002</v>
      </c>
      <c r="R38" s="110">
        <v>10943.750000000002</v>
      </c>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1274999</v>
      </c>
      <c r="AT38" s="113"/>
      <c r="AU38" s="113"/>
      <c r="AV38" s="113"/>
      <c r="AW38" s="318"/>
    </row>
    <row r="39" spans="1:49" x14ac:dyDescent="0.2">
      <c r="B39" s="158" t="s">
        <v>256</v>
      </c>
      <c r="C39" s="62" t="s">
        <v>17</v>
      </c>
      <c r="D39" s="109">
        <v>30345</v>
      </c>
      <c r="E39" s="110">
        <v>30345.3</v>
      </c>
      <c r="F39" s="110"/>
      <c r="G39" s="110"/>
      <c r="H39" s="110"/>
      <c r="I39" s="109">
        <v>30259</v>
      </c>
      <c r="J39" s="109">
        <v>150059</v>
      </c>
      <c r="K39" s="110">
        <v>154556.94999999998</v>
      </c>
      <c r="L39" s="110">
        <v>4498.1500000000005</v>
      </c>
      <c r="M39" s="110"/>
      <c r="N39" s="110"/>
      <c r="O39" s="109"/>
      <c r="P39" s="109">
        <v>119133</v>
      </c>
      <c r="Q39" s="110">
        <v>121602.48000000001</v>
      </c>
      <c r="R39" s="110">
        <v>2469.5100000000002</v>
      </c>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641741</v>
      </c>
      <c r="AT39" s="113"/>
      <c r="AU39" s="113"/>
      <c r="AV39" s="113"/>
      <c r="AW39" s="318"/>
    </row>
    <row r="40" spans="1:49" x14ac:dyDescent="0.2">
      <c r="B40" s="158" t="s">
        <v>257</v>
      </c>
      <c r="C40" s="62" t="s">
        <v>38</v>
      </c>
      <c r="D40" s="109">
        <v>11047</v>
      </c>
      <c r="E40" s="110">
        <v>11047.29</v>
      </c>
      <c r="F40" s="110"/>
      <c r="G40" s="110"/>
      <c r="H40" s="110"/>
      <c r="I40" s="109">
        <v>9535</v>
      </c>
      <c r="J40" s="109">
        <v>1401186</v>
      </c>
      <c r="K40" s="110">
        <v>1414614.8000000003</v>
      </c>
      <c r="L40" s="110">
        <v>13429.04</v>
      </c>
      <c r="M40" s="110"/>
      <c r="N40" s="110"/>
      <c r="O40" s="109"/>
      <c r="P40" s="109">
        <v>1033050</v>
      </c>
      <c r="Q40" s="110">
        <v>1040352.41</v>
      </c>
      <c r="R40" s="110">
        <v>7302.630000000001</v>
      </c>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2263917</v>
      </c>
      <c r="AT40" s="113">
        <v>13</v>
      </c>
      <c r="AU40" s="113"/>
      <c r="AV40" s="113"/>
      <c r="AW40" s="318"/>
    </row>
    <row r="41" spans="1:49" s="5" customFormat="1" ht="25.5" x14ac:dyDescent="0.2">
      <c r="A41" s="35"/>
      <c r="B41" s="158" t="s">
        <v>258</v>
      </c>
      <c r="C41" s="62" t="s">
        <v>129</v>
      </c>
      <c r="D41" s="109">
        <v>28124</v>
      </c>
      <c r="E41" s="110">
        <v>28124.18</v>
      </c>
      <c r="F41" s="110"/>
      <c r="G41" s="110"/>
      <c r="H41" s="110"/>
      <c r="I41" s="109">
        <v>28035</v>
      </c>
      <c r="J41" s="109">
        <v>112991</v>
      </c>
      <c r="K41" s="110">
        <v>125972.11000000002</v>
      </c>
      <c r="L41" s="110">
        <v>12982.14</v>
      </c>
      <c r="M41" s="110"/>
      <c r="N41" s="110"/>
      <c r="O41" s="109"/>
      <c r="P41" s="109">
        <v>80243</v>
      </c>
      <c r="Q41" s="110">
        <v>87621.16</v>
      </c>
      <c r="R41" s="110">
        <v>7378.35</v>
      </c>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183627</v>
      </c>
      <c r="AT41" s="113">
        <v>438</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348482</v>
      </c>
      <c r="E44" s="118">
        <v>348482</v>
      </c>
      <c r="F44" s="118"/>
      <c r="G44" s="118"/>
      <c r="H44" s="118"/>
      <c r="I44" s="117">
        <v>343538</v>
      </c>
      <c r="J44" s="117">
        <v>1580453</v>
      </c>
      <c r="K44" s="118">
        <v>1672063.8861854996</v>
      </c>
      <c r="L44" s="118">
        <v>91610.886185499679</v>
      </c>
      <c r="M44" s="118"/>
      <c r="N44" s="118"/>
      <c r="O44" s="117"/>
      <c r="P44" s="117">
        <v>1293039</v>
      </c>
      <c r="Q44" s="118">
        <v>1333041.951752801</v>
      </c>
      <c r="R44" s="118">
        <v>40002.951752800866</v>
      </c>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2497229</v>
      </c>
      <c r="AT44" s="119">
        <v>1480</v>
      </c>
      <c r="AU44" s="119"/>
      <c r="AV44" s="119"/>
      <c r="AW44" s="317"/>
    </row>
    <row r="45" spans="1:49" x14ac:dyDescent="0.2">
      <c r="B45" s="161" t="s">
        <v>262</v>
      </c>
      <c r="C45" s="62" t="s">
        <v>19</v>
      </c>
      <c r="D45" s="109">
        <v>416817</v>
      </c>
      <c r="E45" s="110">
        <v>416817</v>
      </c>
      <c r="F45" s="110"/>
      <c r="G45" s="110"/>
      <c r="H45" s="110"/>
      <c r="I45" s="109">
        <v>415796</v>
      </c>
      <c r="J45" s="109">
        <v>571784</v>
      </c>
      <c r="K45" s="110">
        <v>604466.4757394793</v>
      </c>
      <c r="L45" s="110">
        <v>32682.475739479331</v>
      </c>
      <c r="M45" s="110"/>
      <c r="N45" s="110"/>
      <c r="O45" s="109"/>
      <c r="P45" s="109">
        <v>489506</v>
      </c>
      <c r="Q45" s="110">
        <v>497109.37043729669</v>
      </c>
      <c r="R45" s="110">
        <v>7603.3704372967104</v>
      </c>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1383440</v>
      </c>
      <c r="AT45" s="113">
        <v>1853</v>
      </c>
      <c r="AU45" s="113"/>
      <c r="AV45" s="113"/>
      <c r="AW45" s="318"/>
    </row>
    <row r="46" spans="1:49" x14ac:dyDescent="0.2">
      <c r="B46" s="161" t="s">
        <v>263</v>
      </c>
      <c r="C46" s="62" t="s">
        <v>20</v>
      </c>
      <c r="D46" s="109">
        <v>460348</v>
      </c>
      <c r="E46" s="110">
        <v>460348</v>
      </c>
      <c r="F46" s="110"/>
      <c r="G46" s="110"/>
      <c r="H46" s="110"/>
      <c r="I46" s="109">
        <v>459964</v>
      </c>
      <c r="J46" s="109">
        <v>514528</v>
      </c>
      <c r="K46" s="110">
        <v>571303.61719697679</v>
      </c>
      <c r="L46" s="110">
        <v>56775.617196976767</v>
      </c>
      <c r="M46" s="110"/>
      <c r="N46" s="110"/>
      <c r="O46" s="109"/>
      <c r="P46" s="109">
        <v>380706</v>
      </c>
      <c r="Q46" s="110">
        <v>412741.30159016984</v>
      </c>
      <c r="R46" s="110">
        <v>32035.301590169856</v>
      </c>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3441180</v>
      </c>
      <c r="AT46" s="113">
        <v>6505</v>
      </c>
      <c r="AU46" s="113"/>
      <c r="AV46" s="113"/>
      <c r="AW46" s="318"/>
    </row>
    <row r="47" spans="1:49" x14ac:dyDescent="0.2">
      <c r="B47" s="161" t="s">
        <v>264</v>
      </c>
      <c r="C47" s="62" t="s">
        <v>21</v>
      </c>
      <c r="D47" s="109">
        <v>827375</v>
      </c>
      <c r="E47" s="110">
        <v>827375</v>
      </c>
      <c r="F47" s="110"/>
      <c r="G47" s="110"/>
      <c r="H47" s="110"/>
      <c r="I47" s="109">
        <v>826861</v>
      </c>
      <c r="J47" s="109">
        <v>5066926</v>
      </c>
      <c r="K47" s="110">
        <v>5570332.7207007557</v>
      </c>
      <c r="L47" s="110">
        <v>503406.72070075583</v>
      </c>
      <c r="M47" s="110"/>
      <c r="N47" s="110"/>
      <c r="O47" s="109"/>
      <c r="P47" s="109">
        <v>2852782</v>
      </c>
      <c r="Q47" s="110">
        <v>2889930.7813516445</v>
      </c>
      <c r="R47" s="110">
        <v>37148.781351644378</v>
      </c>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5294058</v>
      </c>
      <c r="AT47" s="113">
        <v>444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120791.99690000001</v>
      </c>
      <c r="E49" s="110">
        <v>16221.156900000004</v>
      </c>
      <c r="F49" s="110"/>
      <c r="G49" s="110"/>
      <c r="H49" s="110"/>
      <c r="I49" s="109">
        <v>16156</v>
      </c>
      <c r="J49" s="109">
        <v>143547.61447999993</v>
      </c>
      <c r="K49" s="110">
        <v>-139753.76741571407</v>
      </c>
      <c r="L49" s="110">
        <v>-56162.371495714055</v>
      </c>
      <c r="M49" s="110"/>
      <c r="N49" s="110"/>
      <c r="O49" s="109"/>
      <c r="P49" s="109">
        <v>191993.47499000002</v>
      </c>
      <c r="Q49" s="110">
        <v>91360.718293902217</v>
      </c>
      <c r="R49" s="110">
        <v>72957.490103902208</v>
      </c>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724773.35583000001</v>
      </c>
      <c r="AT49" s="113">
        <v>-981.35242886000026</v>
      </c>
      <c r="AU49" s="113"/>
      <c r="AV49" s="113"/>
      <c r="AW49" s="318"/>
    </row>
    <row r="50" spans="2:49" ht="25.5" x14ac:dyDescent="0.2">
      <c r="B50" s="155" t="s">
        <v>266</v>
      </c>
      <c r="C50" s="62"/>
      <c r="D50" s="109">
        <v>1425.339999999999</v>
      </c>
      <c r="E50" s="110">
        <v>1425.339999999999</v>
      </c>
      <c r="F50" s="110"/>
      <c r="G50" s="110"/>
      <c r="H50" s="110"/>
      <c r="I50" s="109">
        <v>1366</v>
      </c>
      <c r="J50" s="109">
        <v>3308.45</v>
      </c>
      <c r="K50" s="110">
        <v>3648.9911498087149</v>
      </c>
      <c r="L50" s="110">
        <v>340.54114980871492</v>
      </c>
      <c r="M50" s="110"/>
      <c r="N50" s="110"/>
      <c r="O50" s="109"/>
      <c r="P50" s="109">
        <v>2528.5299999999997</v>
      </c>
      <c r="Q50" s="110">
        <v>2708.0830890856519</v>
      </c>
      <c r="R50" s="110">
        <v>179.55308908565226</v>
      </c>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8638.1499999999942</v>
      </c>
      <c r="AT50" s="113">
        <v>14.46</v>
      </c>
      <c r="AU50" s="113"/>
      <c r="AV50" s="113"/>
      <c r="AW50" s="318"/>
    </row>
    <row r="51" spans="2:49" x14ac:dyDescent="0.2">
      <c r="B51" s="155" t="s">
        <v>267</v>
      </c>
      <c r="C51" s="62"/>
      <c r="D51" s="109">
        <v>2713017</v>
      </c>
      <c r="E51" s="110">
        <v>2713017</v>
      </c>
      <c r="F51" s="110"/>
      <c r="G51" s="110"/>
      <c r="H51" s="110"/>
      <c r="I51" s="109">
        <v>2700493</v>
      </c>
      <c r="J51" s="109">
        <v>6565201</v>
      </c>
      <c r="K51" s="110">
        <v>7280314.7359335637</v>
      </c>
      <c r="L51" s="110">
        <v>715113.73593356344</v>
      </c>
      <c r="M51" s="110"/>
      <c r="N51" s="110"/>
      <c r="O51" s="109"/>
      <c r="P51" s="109">
        <v>4884711</v>
      </c>
      <c r="Q51" s="110">
        <v>5277650.6264907839</v>
      </c>
      <c r="R51" s="110">
        <v>392939.62649078423</v>
      </c>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14312502</v>
      </c>
      <c r="AT51" s="113">
        <v>29025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8487</v>
      </c>
      <c r="E56" s="122">
        <v>8206</v>
      </c>
      <c r="F56" s="122"/>
      <c r="G56" s="122"/>
      <c r="H56" s="122"/>
      <c r="I56" s="121">
        <v>8190</v>
      </c>
      <c r="J56" s="121">
        <v>14273</v>
      </c>
      <c r="K56" s="122">
        <v>14772</v>
      </c>
      <c r="L56" s="122"/>
      <c r="M56" s="122"/>
      <c r="N56" s="122"/>
      <c r="O56" s="121"/>
      <c r="P56" s="121">
        <v>11545</v>
      </c>
      <c r="Q56" s="122">
        <v>9881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8707</v>
      </c>
      <c r="AT56" s="123">
        <v>1631</v>
      </c>
      <c r="AU56" s="123"/>
      <c r="AV56" s="123"/>
      <c r="AW56" s="309"/>
    </row>
    <row r="57" spans="2:49" x14ac:dyDescent="0.2">
      <c r="B57" s="161" t="s">
        <v>273</v>
      </c>
      <c r="C57" s="62" t="s">
        <v>25</v>
      </c>
      <c r="D57" s="124">
        <v>12708</v>
      </c>
      <c r="E57" s="125">
        <v>12255</v>
      </c>
      <c r="F57" s="125"/>
      <c r="G57" s="125"/>
      <c r="H57" s="125"/>
      <c r="I57" s="124">
        <v>12238</v>
      </c>
      <c r="J57" s="124">
        <v>27994</v>
      </c>
      <c r="K57" s="125">
        <v>28359</v>
      </c>
      <c r="L57" s="125">
        <v>3663</v>
      </c>
      <c r="M57" s="125"/>
      <c r="N57" s="125"/>
      <c r="O57" s="124"/>
      <c r="P57" s="124">
        <v>18575</v>
      </c>
      <c r="Q57" s="125">
        <v>19591</v>
      </c>
      <c r="R57" s="125">
        <v>1934</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29976</v>
      </c>
      <c r="AT57" s="126">
        <v>1631</v>
      </c>
      <c r="AU57" s="126"/>
      <c r="AV57" s="126"/>
      <c r="AW57" s="310"/>
    </row>
    <row r="58" spans="2:49" x14ac:dyDescent="0.2">
      <c r="B58" s="161" t="s">
        <v>274</v>
      </c>
      <c r="C58" s="62" t="s">
        <v>26</v>
      </c>
      <c r="D58" s="330"/>
      <c r="E58" s="331"/>
      <c r="F58" s="331"/>
      <c r="G58" s="331"/>
      <c r="H58" s="331"/>
      <c r="I58" s="330"/>
      <c r="J58" s="124">
        <v>1617</v>
      </c>
      <c r="K58" s="125">
        <v>1617</v>
      </c>
      <c r="L58" s="125"/>
      <c r="M58" s="125"/>
      <c r="N58" s="125"/>
      <c r="O58" s="124"/>
      <c r="P58" s="124">
        <v>80</v>
      </c>
      <c r="Q58" s="125">
        <v>80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v>
      </c>
      <c r="AT58" s="126"/>
      <c r="AU58" s="126"/>
      <c r="AV58" s="126"/>
      <c r="AW58" s="310"/>
    </row>
    <row r="59" spans="2:49" x14ac:dyDescent="0.2">
      <c r="B59" s="161" t="s">
        <v>275</v>
      </c>
      <c r="C59" s="62" t="s">
        <v>27</v>
      </c>
      <c r="D59" s="124">
        <v>133241</v>
      </c>
      <c r="E59" s="125">
        <v>127142</v>
      </c>
      <c r="F59" s="125"/>
      <c r="G59" s="125"/>
      <c r="H59" s="125"/>
      <c r="I59" s="124">
        <v>126876</v>
      </c>
      <c r="J59" s="124">
        <v>340643</v>
      </c>
      <c r="K59" s="125">
        <v>337804</v>
      </c>
      <c r="L59" s="125">
        <v>36007</v>
      </c>
      <c r="M59" s="125"/>
      <c r="N59" s="125"/>
      <c r="O59" s="124"/>
      <c r="P59" s="124">
        <v>236001</v>
      </c>
      <c r="Q59" s="125">
        <v>248309</v>
      </c>
      <c r="R59" s="125">
        <v>21446</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343522</v>
      </c>
      <c r="AT59" s="126">
        <v>18657</v>
      </c>
      <c r="AU59" s="126"/>
      <c r="AV59" s="126"/>
      <c r="AW59" s="310"/>
    </row>
    <row r="60" spans="2:49" x14ac:dyDescent="0.2">
      <c r="B60" s="161" t="s">
        <v>276</v>
      </c>
      <c r="C60" s="62"/>
      <c r="D60" s="127">
        <f t="shared" ref="D60:AC60" si="0">D$59/12</f>
        <v>11103.416666666666</v>
      </c>
      <c r="E60" s="128">
        <f t="shared" si="0"/>
        <v>10595.166666666666</v>
      </c>
      <c r="F60" s="128">
        <f t="shared" si="0"/>
        <v>0</v>
      </c>
      <c r="G60" s="128">
        <f t="shared" si="0"/>
        <v>0</v>
      </c>
      <c r="H60" s="128">
        <f t="shared" si="0"/>
        <v>0</v>
      </c>
      <c r="I60" s="127">
        <f t="shared" si="0"/>
        <v>10573</v>
      </c>
      <c r="J60" s="127">
        <f t="shared" si="0"/>
        <v>28386.916666666668</v>
      </c>
      <c r="K60" s="128">
        <f t="shared" si="0"/>
        <v>28150.333333333332</v>
      </c>
      <c r="L60" s="128">
        <f t="shared" si="0"/>
        <v>3000.5833333333335</v>
      </c>
      <c r="M60" s="128">
        <f t="shared" si="0"/>
        <v>0</v>
      </c>
      <c r="N60" s="128">
        <f t="shared" si="0"/>
        <v>0</v>
      </c>
      <c r="O60" s="127">
        <f t="shared" si="0"/>
        <v>0</v>
      </c>
      <c r="P60" s="127">
        <f t="shared" si="0"/>
        <v>19666.75</v>
      </c>
      <c r="Q60" s="128">
        <f t="shared" si="0"/>
        <v>20692.416666666668</v>
      </c>
      <c r="R60" s="128">
        <f t="shared" si="0"/>
        <v>1787.1666666666667</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f t="shared" ref="AN60:AV60" si="1">AN$59/12</f>
        <v>0</v>
      </c>
      <c r="AO60" s="128">
        <f t="shared" si="1"/>
        <v>0</v>
      </c>
      <c r="AP60" s="128">
        <f t="shared" si="1"/>
        <v>0</v>
      </c>
      <c r="AQ60" s="128">
        <f t="shared" si="1"/>
        <v>0</v>
      </c>
      <c r="AR60" s="128">
        <f t="shared" si="1"/>
        <v>0</v>
      </c>
      <c r="AS60" s="127">
        <f t="shared" si="1"/>
        <v>28626.833333333332</v>
      </c>
      <c r="AT60" s="129">
        <f t="shared" si="1"/>
        <v>1554.75</v>
      </c>
      <c r="AU60" s="129">
        <f t="shared" si="1"/>
        <v>0</v>
      </c>
      <c r="AV60" s="129">
        <f t="shared" si="1"/>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2594854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180494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G19" activePane="bottomRight" state="frozen"/>
      <selection activeCell="B1" sqref="B1"/>
      <selection pane="topRight" activeCell="B1" sqref="B1"/>
      <selection pane="bottomLeft" activeCell="B1" sqref="B1"/>
      <selection pane="bottomRight" activeCell="Q24" sqref="Q2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34620790</v>
      </c>
      <c r="E5" s="118">
        <v>38643605.756282501</v>
      </c>
      <c r="F5" s="118"/>
      <c r="G5" s="130"/>
      <c r="H5" s="130"/>
      <c r="I5" s="117">
        <v>38459348</v>
      </c>
      <c r="J5" s="117">
        <v>106977867</v>
      </c>
      <c r="K5" s="118">
        <v>116475319.5881767</v>
      </c>
      <c r="L5" s="118">
        <v>12253359.59</v>
      </c>
      <c r="M5" s="118"/>
      <c r="N5" s="118"/>
      <c r="O5" s="117"/>
      <c r="P5" s="117">
        <v>81108702</v>
      </c>
      <c r="Q5" s="118">
        <v>91271117.543492988</v>
      </c>
      <c r="R5" s="118">
        <v>7415828.6899999995</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269990260</v>
      </c>
      <c r="AT5" s="119">
        <v>503945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2369.1799999998184</v>
      </c>
      <c r="K9" s="288"/>
      <c r="L9" s="288"/>
      <c r="M9" s="288"/>
      <c r="N9" s="288"/>
      <c r="O9" s="292"/>
      <c r="P9" s="109">
        <v>185212.68</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-5137169</v>
      </c>
      <c r="E11" s="110"/>
      <c r="F11" s="110"/>
      <c r="G11" s="110"/>
      <c r="H11" s="110"/>
      <c r="I11" s="109"/>
      <c r="J11" s="109">
        <v>0.47999999998137355</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-3632582</v>
      </c>
      <c r="AT11" s="113"/>
      <c r="AU11" s="113"/>
      <c r="AV11" s="311"/>
      <c r="AW11" s="318"/>
    </row>
    <row r="12" spans="2:49" x14ac:dyDescent="0.2">
      <c r="B12" s="176" t="s">
        <v>283</v>
      </c>
      <c r="C12" s="133" t="s">
        <v>44</v>
      </c>
      <c r="D12" s="109"/>
      <c r="E12" s="289"/>
      <c r="F12" s="289"/>
      <c r="G12" s="289"/>
      <c r="H12" s="289"/>
      <c r="I12" s="293"/>
      <c r="J12" s="109">
        <v>-4.0000000037252903E-2</v>
      </c>
      <c r="K12" s="289"/>
      <c r="L12" s="289"/>
      <c r="M12" s="289"/>
      <c r="N12" s="289"/>
      <c r="O12" s="293"/>
      <c r="P12" s="109">
        <v>0.36000000000058208</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-3387820</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8894210.0300000012</v>
      </c>
      <c r="F15" s="110"/>
      <c r="G15" s="110"/>
      <c r="H15" s="110"/>
      <c r="I15" s="109">
        <v>8894210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-6379256.8499999996</v>
      </c>
      <c r="F16" s="110"/>
      <c r="G16" s="110"/>
      <c r="H16" s="110"/>
      <c r="I16" s="109">
        <v>-6379257</v>
      </c>
      <c r="J16" s="109"/>
      <c r="K16" s="110">
        <v>683165.75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8999305</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21545991.469999999</v>
      </c>
      <c r="F20" s="110"/>
      <c r="G20" s="110"/>
      <c r="H20" s="110"/>
      <c r="I20" s="109">
        <v>21545991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36773605</v>
      </c>
      <c r="E23" s="288"/>
      <c r="F23" s="288"/>
      <c r="G23" s="288"/>
      <c r="H23" s="288"/>
      <c r="I23" s="292"/>
      <c r="J23" s="109">
        <v>79778011</v>
      </c>
      <c r="K23" s="288"/>
      <c r="L23" s="288"/>
      <c r="M23" s="288"/>
      <c r="N23" s="288"/>
      <c r="O23" s="292"/>
      <c r="P23" s="109">
        <v>68649050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241033169</v>
      </c>
      <c r="AT23" s="113">
        <v>266245</v>
      </c>
      <c r="AU23" s="113"/>
      <c r="AV23" s="311"/>
      <c r="AW23" s="318"/>
    </row>
    <row r="24" spans="2:49" ht="28.5" customHeight="1" x14ac:dyDescent="0.2">
      <c r="B24" s="178" t="s">
        <v>114</v>
      </c>
      <c r="C24" s="133"/>
      <c r="D24" s="293"/>
      <c r="E24" s="110">
        <v>45441719.389999993</v>
      </c>
      <c r="F24" s="110"/>
      <c r="G24" s="110"/>
      <c r="H24" s="110"/>
      <c r="I24" s="109">
        <v>45153302</v>
      </c>
      <c r="J24" s="293"/>
      <c r="K24" s="110">
        <v>86130383.689999998</v>
      </c>
      <c r="L24" s="110">
        <v>7618607.1399999997</v>
      </c>
      <c r="M24" s="110"/>
      <c r="N24" s="110"/>
      <c r="O24" s="109"/>
      <c r="P24" s="293"/>
      <c r="Q24" s="110">
        <v>80326406.100000009</v>
      </c>
      <c r="R24" s="110">
        <v>7759863.8499999996</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8170751</v>
      </c>
      <c r="E26" s="288"/>
      <c r="F26" s="288"/>
      <c r="G26" s="288"/>
      <c r="H26" s="288"/>
      <c r="I26" s="292"/>
      <c r="J26" s="109">
        <v>7046396</v>
      </c>
      <c r="K26" s="288"/>
      <c r="L26" s="288"/>
      <c r="M26" s="288"/>
      <c r="N26" s="288"/>
      <c r="O26" s="292"/>
      <c r="P26" s="109">
        <v>6045364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25047916</v>
      </c>
      <c r="AT26" s="113">
        <v>16480</v>
      </c>
      <c r="AU26" s="113"/>
      <c r="AV26" s="311"/>
      <c r="AW26" s="318"/>
    </row>
    <row r="27" spans="2:49" s="5" customFormat="1" ht="25.5" x14ac:dyDescent="0.2">
      <c r="B27" s="178" t="s">
        <v>85</v>
      </c>
      <c r="C27" s="133"/>
      <c r="D27" s="293"/>
      <c r="E27" s="110">
        <v>2138190.3216999997</v>
      </c>
      <c r="F27" s="110"/>
      <c r="G27" s="110"/>
      <c r="H27" s="110"/>
      <c r="I27" s="109">
        <v>2137925</v>
      </c>
      <c r="J27" s="293"/>
      <c r="K27" s="110">
        <v>816284.88312164322</v>
      </c>
      <c r="L27" s="110">
        <v>223599.86749999999</v>
      </c>
      <c r="M27" s="110"/>
      <c r="N27" s="110"/>
      <c r="O27" s="109"/>
      <c r="P27" s="293"/>
      <c r="Q27" s="110">
        <v>807723.38837836182</v>
      </c>
      <c r="R27" s="110">
        <v>245630.15640000001</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168514</v>
      </c>
      <c r="E28" s="289"/>
      <c r="F28" s="289"/>
      <c r="G28" s="289"/>
      <c r="H28" s="289"/>
      <c r="I28" s="293"/>
      <c r="J28" s="109">
        <v>6929398</v>
      </c>
      <c r="K28" s="289"/>
      <c r="L28" s="289"/>
      <c r="M28" s="289"/>
      <c r="N28" s="289"/>
      <c r="O28" s="293"/>
      <c r="P28" s="109">
        <v>6754501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17879504</v>
      </c>
      <c r="AT28" s="113">
        <v>15273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48019</v>
      </c>
      <c r="K30" s="288"/>
      <c r="L30" s="288"/>
      <c r="M30" s="288"/>
      <c r="N30" s="288"/>
      <c r="O30" s="292"/>
      <c r="P30" s="109">
        <v>43981</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48019.49</v>
      </c>
      <c r="L31" s="110"/>
      <c r="M31" s="110"/>
      <c r="N31" s="110"/>
      <c r="O31" s="109"/>
      <c r="P31" s="293"/>
      <c r="Q31" s="110">
        <v>21980.510000000002</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22000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304576</v>
      </c>
      <c r="K38" s="288"/>
      <c r="L38" s="288"/>
      <c r="M38" s="288"/>
      <c r="N38" s="288"/>
      <c r="O38" s="292"/>
      <c r="P38" s="109">
        <v>189951</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335713</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-5137169</v>
      </c>
      <c r="E41" s="288"/>
      <c r="F41" s="288"/>
      <c r="G41" s="288"/>
      <c r="H41" s="288"/>
      <c r="I41" s="292"/>
      <c r="J41" s="109">
        <v>76257</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-3632582</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35348</v>
      </c>
      <c r="K43" s="289"/>
      <c r="L43" s="289"/>
      <c r="M43" s="289"/>
      <c r="N43" s="289"/>
      <c r="O43" s="293"/>
      <c r="P43" s="109">
        <v>95022</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-3387820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64886</v>
      </c>
      <c r="E49" s="110">
        <v>192922.38999999998</v>
      </c>
      <c r="F49" s="110"/>
      <c r="G49" s="110"/>
      <c r="H49" s="110"/>
      <c r="I49" s="109">
        <v>192922</v>
      </c>
      <c r="J49" s="109">
        <v>632208</v>
      </c>
      <c r="K49" s="110">
        <v>1614851.0748407601</v>
      </c>
      <c r="L49" s="110"/>
      <c r="M49" s="110"/>
      <c r="N49" s="110"/>
      <c r="O49" s="109"/>
      <c r="P49" s="109">
        <v>270944</v>
      </c>
      <c r="Q49" s="110">
        <v>1218192.4651592383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1966269</v>
      </c>
      <c r="AT49" s="113"/>
      <c r="AU49" s="113"/>
      <c r="AV49" s="311"/>
      <c r="AW49" s="318"/>
    </row>
    <row r="50" spans="2:49" x14ac:dyDescent="0.2">
      <c r="B50" s="176" t="s">
        <v>119</v>
      </c>
      <c r="C50" s="133" t="s">
        <v>34</v>
      </c>
      <c r="D50" s="109"/>
      <c r="E50" s="289"/>
      <c r="F50" s="289"/>
      <c r="G50" s="289"/>
      <c r="H50" s="289"/>
      <c r="I50" s="293"/>
      <c r="J50" s="109">
        <v>443569</v>
      </c>
      <c r="K50" s="289"/>
      <c r="L50" s="289"/>
      <c r="M50" s="289"/>
      <c r="N50" s="289"/>
      <c r="O50" s="293"/>
      <c r="P50" s="109">
        <v>331520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880067</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-139611</v>
      </c>
      <c r="L53" s="110">
        <v>1339042</v>
      </c>
      <c r="M53" s="110"/>
      <c r="N53" s="110"/>
      <c r="O53" s="109"/>
      <c r="P53" s="109"/>
      <c r="Q53" s="110">
        <v>-384497</v>
      </c>
      <c r="R53" s="110">
        <v>-1612568</v>
      </c>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39573787</v>
      </c>
      <c r="E54" s="115">
        <f>E24+E27+E31+E35-E36+E39+E42+E45+E46-E49+E51+E52+E53</f>
        <v>47386987.321699992</v>
      </c>
      <c r="F54" s="115">
        <f>F24+F27+F31+F35-F36+F39+F42+F45+F46-F49+F51+F52+F53</f>
        <v>0</v>
      </c>
      <c r="G54" s="115">
        <f>G24+G27+G31+G35-G36+G39+G42+G45+G46-G49+G51+G52+G53</f>
        <v>0</v>
      </c>
      <c r="H54" s="115">
        <f>H24+H27+H31+H35-H36+H39+H42+H45+H46-H49+H51+H52+H53</f>
        <v>0</v>
      </c>
      <c r="I54" s="114">
        <f>I24+I27+I31+I35-I36+I39+I42+I45+I46-I49+I51+I52+I53</f>
        <v>47098305</v>
      </c>
      <c r="J54" s="114">
        <f>J23+J26-J28+J30-J32+J34-J36+J38+J41-J43+J45+J46-J47-J49+J50+J51+J52+J53</f>
        <v>80077874</v>
      </c>
      <c r="K54" s="115">
        <f>K24+K27+K31+K35-K36+K39+K42+K45+K46-K49+K51+K52+K53</f>
        <v>85240225.988280877</v>
      </c>
      <c r="L54" s="115">
        <f>L24+L27+L31+L35-L36+L39+L42+L45+L46-L49+L51+L52+L53</f>
        <v>9181249.0075000003</v>
      </c>
      <c r="M54" s="115">
        <f>M24+M27+M31+M35-M36+M39+M42+M45+M46-M49+M51+M52+M53</f>
        <v>0</v>
      </c>
      <c r="N54" s="115">
        <f>N24+N27+N31+N35-N36+N39+N42+N45+N46-N49+N51+N52+N53</f>
        <v>0</v>
      </c>
      <c r="O54" s="114">
        <f>O24+O27+O31+O35-O36+O39+O42+O45+O46-O49+O51+O52+O53</f>
        <v>0</v>
      </c>
      <c r="P54" s="114">
        <f>P23+P26-P28+P30-P32+P34-P36+P38+P41-P43+P45+P46-P47-P49+P50+P51+P52+P53</f>
        <v>68139399</v>
      </c>
      <c r="Q54" s="115">
        <f>Q24+Q27+Q31+Q35-Q36+Q39+Q42+Q45+Q46-Q49+Q51+Q52+Q53</f>
        <v>79553420.533219144</v>
      </c>
      <c r="R54" s="115">
        <f>R24+R27+R31+R35-R36+R39+R42+R45+R46-R49+R51+R52+R53</f>
        <v>6392926.0063999994</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f>AN23+AN26-AN28+AN30-AN32+AN34-AN36+AN38+AN41-AN43+AN45+AN46-AN47-AN49+AN50+AN51+AN52+AN53</f>
        <v>0</v>
      </c>
      <c r="AO54" s="115">
        <f>AO24+AO27+AO31+AO35-AO36+AO39+AO42+AO45+AO46-AO49+AO51+AO52+AO53</f>
        <v>0</v>
      </c>
      <c r="AP54" s="115">
        <f>AP24+AP27+AP31+AP35-AP36+AP39+AP42+AP45+AP46-AP49+AP51+AP52+AP53</f>
        <v>0</v>
      </c>
      <c r="AQ54" s="115">
        <f>AQ24+AQ27+AQ31+AQ35-AQ36+AQ39+AQ42+AQ45+AQ46-AQ49+AQ51+AQ52+AQ53</f>
        <v>0</v>
      </c>
      <c r="AR54" s="115">
        <f>AR24+AR27+AR31+AR35-AR36+AR39+AR42+AR45+AR46-AR49+AR51+AR52+AR53</f>
        <v>0</v>
      </c>
      <c r="AS54" s="114">
        <f>AS23+AS26-AS28+AS30-AS32+AS34-AS36+AS38+AS41-AS43+AS45+AS46-AS47-AS49+AS50+AS51+AS52+AS53</f>
        <v>247206330</v>
      </c>
      <c r="AT54" s="116">
        <f>AT23+AT26-AT28+AT30-AT32+AT34-AT36+AT38+AT41-AT43+AT45+AT46-AT47-AT49+AT50+AT51+AT52+AT53</f>
        <v>267452</v>
      </c>
      <c r="AU54" s="116">
        <f>AU23+AU26-AU28+AU30-AU32+AU34-AU36+AU38+AU41-AU43+AU45+AU46-AU47-AU49+AU50+AU51+AU52+AU53</f>
        <v>0</v>
      </c>
      <c r="AV54" s="311"/>
      <c r="AW54" s="318"/>
    </row>
    <row r="55" spans="2:49" ht="25.5" x14ac:dyDescent="0.2">
      <c r="B55" s="181" t="s">
        <v>304</v>
      </c>
      <c r="C55" s="137" t="s">
        <v>28</v>
      </c>
      <c r="D55" s="114">
        <v>43435</v>
      </c>
      <c r="E55" s="115">
        <v>43435</v>
      </c>
      <c r="F55" s="115">
        <v>0</v>
      </c>
      <c r="G55" s="115">
        <v>0</v>
      </c>
      <c r="H55" s="115">
        <v>0</v>
      </c>
      <c r="I55" s="114">
        <v>12703</v>
      </c>
      <c r="J55" s="114">
        <v>116738</v>
      </c>
      <c r="K55" s="115">
        <v>121103.53</v>
      </c>
      <c r="L55" s="115">
        <v>0</v>
      </c>
      <c r="M55" s="115">
        <v>0</v>
      </c>
      <c r="N55" s="115">
        <v>0</v>
      </c>
      <c r="O55" s="114">
        <v>0</v>
      </c>
      <c r="P55" s="114">
        <v>99708</v>
      </c>
      <c r="Q55" s="115">
        <v>110048.88</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43899</v>
      </c>
      <c r="E56" s="110">
        <v>43899</v>
      </c>
      <c r="F56" s="110"/>
      <c r="G56" s="110"/>
      <c r="H56" s="110"/>
      <c r="I56" s="109">
        <v>43633</v>
      </c>
      <c r="J56" s="109">
        <v>145773</v>
      </c>
      <c r="K56" s="110">
        <v>146169.95000000001</v>
      </c>
      <c r="L56" s="110"/>
      <c r="M56" s="110"/>
      <c r="N56" s="110"/>
      <c r="O56" s="109"/>
      <c r="P56" s="109">
        <v>139434</v>
      </c>
      <c r="Q56" s="110">
        <v>139653.46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43435</v>
      </c>
      <c r="E57" s="110">
        <v>43435</v>
      </c>
      <c r="F57" s="110"/>
      <c r="G57" s="110"/>
      <c r="H57" s="110"/>
      <c r="I57" s="109">
        <v>12703</v>
      </c>
      <c r="J57" s="109">
        <v>116738</v>
      </c>
      <c r="K57" s="110">
        <v>121103.53</v>
      </c>
      <c r="L57" s="110"/>
      <c r="M57" s="110"/>
      <c r="N57" s="110"/>
      <c r="O57" s="109"/>
      <c r="P57" s="109">
        <v>99708</v>
      </c>
      <c r="Q57" s="110">
        <v>110048.88</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605614</v>
      </c>
      <c r="AT57" s="113"/>
      <c r="AU57" s="113"/>
      <c r="AV57" s="113"/>
      <c r="AW57" s="318"/>
    </row>
    <row r="58" spans="2:49" s="5" customFormat="1" x14ac:dyDescent="0.2">
      <c r="B58" s="184" t="s">
        <v>484</v>
      </c>
      <c r="C58" s="185"/>
      <c r="D58" s="186"/>
      <c r="E58" s="187">
        <v>2889704.39</v>
      </c>
      <c r="F58" s="187"/>
      <c r="G58" s="187"/>
      <c r="H58" s="187"/>
      <c r="I58" s="186">
        <v>2889704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K52" sqref="K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829184.75</v>
      </c>
      <c r="D5" s="118">
        <v>918873.03000000014</v>
      </c>
      <c r="E5" s="346"/>
      <c r="F5" s="346"/>
      <c r="G5" s="312"/>
      <c r="H5" s="117">
        <v>79559756.920000002</v>
      </c>
      <c r="I5" s="118">
        <v>77047013.916662604</v>
      </c>
      <c r="J5" s="346"/>
      <c r="K5" s="346"/>
      <c r="L5" s="312"/>
      <c r="M5" s="117">
        <v>73328897.230000004</v>
      </c>
      <c r="N5" s="118">
        <v>78368282.744137391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829017.36999999988</v>
      </c>
      <c r="D6" s="110">
        <v>911657.90840000007</v>
      </c>
      <c r="E6" s="115">
        <f>SUM('Pt 1 Summary of Data'!E$12,'Pt 1 Summary of Data'!E$22)+SUM('Pt 1 Summary of Data'!G$12,'Pt 1 Summary of Data'!G$22)-SUM('Pt 1 Summary of Data'!H$12,'Pt 1 Summary of Data'!H$22)</f>
        <v>47430422.321699992</v>
      </c>
      <c r="F6" s="115">
        <f t="shared" ref="F6:F11" si="0">SUM(C6:E6)</f>
        <v>49171097.600099988</v>
      </c>
      <c r="G6" s="116">
        <f>SUM('Pt 1 Summary of Data'!I$12,'Pt 1 Summary of Data'!I$22)</f>
        <v>47111008</v>
      </c>
      <c r="H6" s="109">
        <v>79433446.283764035</v>
      </c>
      <c r="I6" s="110">
        <v>77147086.726399019</v>
      </c>
      <c r="J6" s="115">
        <f>SUM('Pt 1 Summary of Data'!K$12,'Pt 1 Summary of Data'!K$22)+SUM('Pt 1 Summary of Data'!M$12,'Pt 1 Summary of Data'!M$22)-SUM('Pt 1 Summary of Data'!N$12,'Pt 1 Summary of Data'!N$22)</f>
        <v>85361329.518280879</v>
      </c>
      <c r="K6" s="115">
        <f>SUM(H6:J6)</f>
        <v>241941862.52844393</v>
      </c>
      <c r="L6" s="116">
        <f>SUM('Pt 1 Summary of Data'!O$12,'Pt 1 Summary of Data'!O$22)</f>
        <v>0</v>
      </c>
      <c r="M6" s="109">
        <v>73254373.956235975</v>
      </c>
      <c r="N6" s="110">
        <v>78871537.851100981</v>
      </c>
      <c r="O6" s="115">
        <f>SUM('Pt 1 Summary of Data'!Q$12,'Pt 1 Summary of Data'!Q$22)+SUM('Pt 1 Summary of Data'!S$12,'Pt 1 Summary of Data'!S$22)-SUM('Pt 1 Summary of Data'!T$12,'Pt 1 Summary of Data'!T$22)</f>
        <v>79663469.413219139</v>
      </c>
      <c r="P6" s="115">
        <f>SUM(M6:O6)</f>
        <v>231789381.22055608</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f>SUM('Pt 1 Summary of Data'!AO$12,'Pt 1 Summary of Data'!AO$22)+SUM('Pt 1 Summary of Data'!AQ$12,'Pt 1 Summary of Data'!AQ$22)-SUM('Pt 1 Summary of Data'!AR$12,'Pt 1 Summary of Data'!AR$22)</f>
        <v>0</v>
      </c>
      <c r="AN6" s="253">
        <f>IF(AM$37&lt;75000,AL6+AM6,AM6)</f>
        <v>0</v>
      </c>
    </row>
    <row r="7" spans="1:40" x14ac:dyDescent="0.2">
      <c r="B7" s="191" t="s">
        <v>312</v>
      </c>
      <c r="C7" s="109">
        <v>3446.8399999999992</v>
      </c>
      <c r="D7" s="110">
        <v>3302.95</v>
      </c>
      <c r="E7" s="115">
        <f>SUM('Pt 1 Summary of Data'!E$37:E$41)+SUM('Pt 1 Summary of Data'!G$37:G$41)-SUM('Pt 1 Summary of Data'!H$37:H$41)+MAX(0,MIN('Pt 1 Summary of Data'!E$42+'Pt 1 Summary of Data'!G$42-'Pt 1 Summary of Data'!H$42,0.3%*('Pt 1 Summary of Data'!E$5+'Pt 1 Summary of Data'!G$5-'Pt 1 Summary of Data'!H$5-SUM(E$9:E$11))))</f>
        <v>178011.96000000002</v>
      </c>
      <c r="F7" s="115">
        <f t="shared" si="0"/>
        <v>184761.75000000003</v>
      </c>
      <c r="G7" s="116">
        <f>SUM('Pt 1 Summary of Data'!I$37:I$41)+MAX(0,MIN('Pt 1 Summary of Data'!I$42,0.3%*('Pt 1 Summary of Data'!I$5-SUM(G$9:G$10))))</f>
        <v>175877</v>
      </c>
      <c r="H7" s="109">
        <v>2747264.44</v>
      </c>
      <c r="I7" s="110">
        <v>2653518.4199999995</v>
      </c>
      <c r="J7" s="115">
        <f>SUM('Pt 1 Summary of Data'!K$37:K$41)+SUM('Pt 1 Summary of Data'!M$37:M$41)-SUM('Pt 1 Summary of Data'!N$37:N$41)+MAX(0,MIN('Pt 1 Summary of Data'!K$42+'Pt 1 Summary of Data'!M$42-'Pt 1 Summary of Data'!N$42,0.3%*('Pt 1 Summary of Data'!K$5+'Pt 1 Summary of Data'!M$5-'Pt 1 Summary of Data'!N$5-SUM(J$10:J$11))))</f>
        <v>2402319.1</v>
      </c>
      <c r="K7" s="115">
        <f>SUM(H7:J7)</f>
        <v>7803101.959999999</v>
      </c>
      <c r="L7" s="116">
        <f>SUM('Pt 1 Summary of Data'!O$37:O$41)+MAX(0,MIN('Pt 1 Summary of Data'!O$42,0.3%*('Pt 1 Summary of Data'!O$5-L$10)))</f>
        <v>0</v>
      </c>
      <c r="M7" s="109">
        <v>2066821.4400000002</v>
      </c>
      <c r="N7" s="110">
        <v>1999600.5399999996</v>
      </c>
      <c r="O7" s="115">
        <f>SUM('Pt 1 Summary of Data'!Q$37:Q$41)+SUM('Pt 1 Summary of Data'!S$37:S$41)-SUM('Pt 1 Summary of Data'!T$37:T$41)+MAX(0,MIN('Pt 1 Summary of Data'!Q$42+'Pt 1 Summary of Data'!S$42-'Pt 1 Summary of Data'!T$42,0.3%*('Pt 1 Summary of Data'!Q$5+'Pt 1 Summary of Data'!S$5-'Pt 1 Summary of Data'!T$5)))</f>
        <v>1723760.5799999998</v>
      </c>
      <c r="P7" s="115">
        <f>SUM(M7:O7)</f>
        <v>5790182.5599999996</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f>SUM('Pt 1 Summary of Data'!AO$37:AO$41)+SUM('Pt 1 Summary of Data'!AQ$37:AQ$41)-SUM('Pt 1 Summary of Data'!AR$37:AR$41)+MAX(0,MIN('Pt 1 Summary of Data'!AO$42+'Pt 1 Summary of Data'!AQ$42-'Pt 1 Summary of Data'!AR$42,0.3%*('Pt 1 Summary of Data'!AO$5+'Pt 1 Summary of Data'!AQ$5-'Pt 1 Summary of Data'!AR$5)))</f>
        <v>0</v>
      </c>
      <c r="AN7" s="253">
        <f>IF(AM$37&lt;75000,AL7+AM7,AM7)</f>
        <v>0</v>
      </c>
    </row>
    <row r="8" spans="1:40" x14ac:dyDescent="0.2">
      <c r="B8" s="191" t="s">
        <v>483</v>
      </c>
      <c r="C8" s="293"/>
      <c r="D8" s="289"/>
      <c r="E8" s="269">
        <v>2889704.39</v>
      </c>
      <c r="F8" s="269">
        <f t="shared" si="0"/>
        <v>2889704.39</v>
      </c>
      <c r="G8" s="270">
        <v>2889704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8894210.0300000012</v>
      </c>
      <c r="F9" s="115">
        <f t="shared" si="0"/>
        <v>8894210.0300000012</v>
      </c>
      <c r="G9" s="116">
        <f>'Pt 2 Premium and Claims'!I$15</f>
        <v>8894210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-6379256.8499999996</v>
      </c>
      <c r="F10" s="115">
        <f t="shared" si="0"/>
        <v>-6379256.8499999996</v>
      </c>
      <c r="G10" s="116">
        <f>'Pt 2 Premium and Claims'!I$16</f>
        <v>-6379257</v>
      </c>
      <c r="H10" s="292"/>
      <c r="I10" s="288"/>
      <c r="J10" s="115">
        <f>'Pt 2 Premium and Claims'!K$16+'Pt 2 Premium and Claims'!M$16-'Pt 2 Premium and Claims'!N$16</f>
        <v>683165.75</v>
      </c>
      <c r="K10" s="115">
        <f>SUM(H10:J10)</f>
        <v>683165.75</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8999305</v>
      </c>
      <c r="F11" s="115">
        <f t="shared" si="0"/>
        <v>8999305</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832464.20999999985</v>
      </c>
      <c r="D12" s="115">
        <f>SUM(D$6:D$7)+IF(AND(OR('Company Information'!$C$12="District of Columbia",'Company Information'!$C$12="Massachusetts",'Company Information'!$C$12="Vermont"),SUM($C$6:$F$11,$C$15:$F$16,$C$37:$D$37)&lt;&gt;0),SUM(I$6:I$7),0)</f>
        <v>914960.85840000003</v>
      </c>
      <c r="E12" s="115">
        <f>SUM(E$6:E$7)-SUM(E$8:E$11)+IF(AND(OR('Company Information'!$C$12="District of Columbia",'Company Information'!$C$12="Massachusetts",'Company Information'!$C$12="Vermont"),SUM($C$6:$F$11,$C$15:$F$16,$C$37:$D$37)&lt;&gt;0),SUM(J$6:J$7)-SUM(J$10:J$11),0)</f>
        <v>33204471.711699992</v>
      </c>
      <c r="F12" s="115">
        <f>IFERROR(SUM(C$12:E$12)+C$17*MAX(0,E$49-C$49)+D$17*MAX(0,E$49-D$49),0)</f>
        <v>34951896.780099995</v>
      </c>
      <c r="G12" s="311"/>
      <c r="H12" s="114">
        <f>SUM(H$6:H$7)+IF(AND(OR('Company Information'!$C$12="District of Columbia",'Company Information'!$C$12="Massachusetts",'Company Information'!$C$12="Vermont"),SUM($H$6:$K$11,$H$15:$K$16,$H$37:$I$37)&lt;&gt;0),SUM(C$6:C$7),0)</f>
        <v>82180710.723764032</v>
      </c>
      <c r="I12" s="115">
        <f>SUM(I$6:I$7)+IF(AND(OR('Company Information'!$C$12="District of Columbia",'Company Information'!$C$12="Massachusetts",'Company Information'!$C$12="Vermont"),SUM($H$6:$K$11,$H$15:$K$16,$H$37:$I$37)&lt;&gt;0),SUM(D$6:D$7),0)</f>
        <v>79800605.146399021</v>
      </c>
      <c r="J12" s="115">
        <f>SUM(J$6:J$7)-SUM(J$10:J$11)+IF(AND(OR('Company Information'!$C$12="District of Columbia",'Company Information'!$C$12="Massachusetts",'Company Information'!$C$12="Vermont"),SUM($H$6:$K$11,$H$15:$K$16,$H$37:$I$37)&lt;&gt;0),SUM(E$6:E$7)-SUM(E$8:E$11),0)</f>
        <v>87080482.868280873</v>
      </c>
      <c r="K12" s="115">
        <f>IFERROR(SUM(H$12:J$12)+H$17*MAX(0,J$49-H$49)+I$17*MAX(0,J$49-I$49),0)</f>
        <v>249061798.73844391</v>
      </c>
      <c r="L12" s="311"/>
      <c r="M12" s="114">
        <f>SUM(M$6:M$7)</f>
        <v>75321195.396235973</v>
      </c>
      <c r="N12" s="115">
        <f>SUM(N$6:N$7)</f>
        <v>80871138.391100988</v>
      </c>
      <c r="O12" s="115">
        <f>SUM(O$6:O$7)</f>
        <v>81387229.993219137</v>
      </c>
      <c r="P12" s="115">
        <f>SUM(M$12:O$12)+M$17*MAX(0,O$49-M$49)+N$17*MAX(0,O$49-N$49)</f>
        <v>237579563.78055608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f>SUM(AL$6:AL$7)</f>
        <v>0</v>
      </c>
      <c r="AM13" s="115">
        <f>SUM(AM$6:AM$7)</f>
        <v>0</v>
      </c>
      <c r="AN13" s="253">
        <f>IF(AM$37&lt;75000,AL$13+AM$13,AM$13)</f>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541812.15</v>
      </c>
      <c r="D15" s="118">
        <v>308615.21999999997</v>
      </c>
      <c r="E15" s="106">
        <f>SUM('Pt 1 Summary of Data'!E$5:E$7)+SUM('Pt 1 Summary of Data'!G$5:G$7)-SUM('Pt 1 Summary of Data'!H$5:H$7)-SUM(E$9:E$11)+D$55</f>
        <v>38643605.756282501</v>
      </c>
      <c r="F15" s="106">
        <f>SUM(C15:E15)</f>
        <v>39494033.126282498</v>
      </c>
      <c r="G15" s="107">
        <f>SUM('Pt 1 Summary of Data'!I$5:I$7)-SUM(G$9:G$10)</f>
        <v>38459348</v>
      </c>
      <c r="H15" s="117">
        <v>105305530.47</v>
      </c>
      <c r="I15" s="118">
        <v>108313955.0541158</v>
      </c>
      <c r="J15" s="106">
        <f>SUM('Pt 1 Summary of Data'!K$5:K$7)+SUM('Pt 1 Summary of Data'!M$5:M$7)-SUM('Pt 1 Summary of Data'!N$5:N$7)-SUM(J$10:J$11)+I$55</f>
        <v>117136825.2075516</v>
      </c>
      <c r="K15" s="106">
        <f>SUM(H15:J15)</f>
        <v>330756310.7316674</v>
      </c>
      <c r="L15" s="107">
        <f>SUM('Pt 1 Summary of Data'!O$5:O$7)-L$10</f>
        <v>0</v>
      </c>
      <c r="M15" s="117">
        <v>88246874.899999991</v>
      </c>
      <c r="N15" s="118">
        <v>96840874.574858353</v>
      </c>
      <c r="O15" s="106">
        <f>SUM('Pt 1 Summary of Data'!Q$5:Q$7)+SUM('Pt 1 Summary of Data'!S$5:S$7)-SUM('Pt 1 Summary of Data'!T$5:T$7)+N$55</f>
        <v>91588602.634465024</v>
      </c>
      <c r="P15" s="106">
        <f>SUM(M15:O15)</f>
        <v>276676352.10932338</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f>SUM('Pt 1 Summary of Data'!AO$5:AO$7)+SUM('Pt 1 Summary of Data'!AQ$5:AQ$7)-SUM('Pt 1 Summary of Data'!AR$5:AR$7)+AL$55</f>
        <v>0</v>
      </c>
      <c r="AN15" s="254">
        <f>IF(AM$37&lt;75000,AL15+AM15,AM15)</f>
        <v>0</v>
      </c>
    </row>
    <row r="16" spans="1:40" x14ac:dyDescent="0.2">
      <c r="B16" s="191" t="s">
        <v>313</v>
      </c>
      <c r="C16" s="109">
        <v>-133402</v>
      </c>
      <c r="D16" s="110">
        <v>-231074</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2578309.5486999997</v>
      </c>
      <c r="F16" s="115">
        <f>SUM(C16:E16)</f>
        <v>2213833.5486999997</v>
      </c>
      <c r="G16" s="116">
        <f>SUM('Pt 1 Summary of Data'!I$25:I$28,'Pt 1 Summary of Data'!I$30,'Pt 1 Summary of Data'!I$34:I$35)+IF('Company Information'!$C$15="No",IF(MAX('Pt 1 Summary of Data'!I$31:I$32)=0,MIN('Pt 1 Summary of Data'!I$31:I$32),MAX('Pt 1 Summary of Data'!I$31:I$32)),SUM('Pt 1 Summary of Data'!I$31:I$32))</f>
        <v>1947910</v>
      </c>
      <c r="H16" s="109">
        <v>3562344.0900000003</v>
      </c>
      <c r="I16" s="110">
        <v>5998833.8878156953</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6697443.1038562758</v>
      </c>
      <c r="K16" s="115">
        <f>SUM(H16:J16)</f>
        <v>16258621.081671972</v>
      </c>
      <c r="L16" s="116">
        <f>SUM('Pt 1 Summary of Data'!O$25:O$28,'Pt 1 Summary of Data'!O$30,'Pt 1 Summary of Data'!O$34:O$35)+IF('Company Information'!$C$15="No",IF(MAX('Pt 1 Summary of Data'!O$31:O$32)=0,MIN('Pt 1 Summary of Data'!O$31:O$32),MAX('Pt 1 Summary of Data'!O$31:O$32)),SUM('Pt 1 Summary of Data'!O$31:O$32))</f>
        <v>0</v>
      </c>
      <c r="M16" s="109">
        <v>1255562.45</v>
      </c>
      <c r="N16" s="110">
        <v>2416087.3228206346</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2306131.0899793496</v>
      </c>
      <c r="P16" s="115">
        <f>SUM(M16:O16)</f>
        <v>5977780.8627999844</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3">
        <f>IF(AM$37&lt;75000,AL16+AM16,AM16)</f>
        <v>0</v>
      </c>
    </row>
    <row r="17" spans="1:40" s="76" customFormat="1" x14ac:dyDescent="0.2">
      <c r="A17" s="143"/>
      <c r="B17" s="192" t="s">
        <v>320</v>
      </c>
      <c r="C17" s="114">
        <f>C$15-C$16+IF(AND(OR('Company Information'!$C$12="District of Columbia",'Company Information'!$C$12="Massachusetts",'Company Information'!$C$12="Vermont"),SUM($C$6:$F$11,$C$15:$F$16,$C$37:$D$37)&lt;&gt;0),H$15-H$16,0)</f>
        <v>675214.15</v>
      </c>
      <c r="D17" s="115">
        <f>D$15-D$16+IF(AND(OR('Company Information'!$C$12="District of Columbia",'Company Information'!$C$12="Massachusetts",'Company Information'!$C$12="Vermont"),SUM($C$6:$F$11,$C$15:$F$16,$C$37:$D$37)&lt;&gt;0),I$15-I$16,0)</f>
        <v>539689.22</v>
      </c>
      <c r="E17" s="115">
        <f>E$15-E$16+IF(AND(OR('Company Information'!$C$12="District of Columbia",'Company Information'!$C$12="Massachusetts",'Company Information'!$C$12="Vermont"),SUM($C$6:$F$11,$C$15:$F$16,$C$37:$D$37)&lt;&gt;0),J$15-J$16,0)</f>
        <v>36065296.207582504</v>
      </c>
      <c r="F17" s="115">
        <f>F$15-F$16+IF(AND(OR('Company Information'!$C$12="District of Columbia",'Company Information'!$C$12="Massachusetts",'Company Information'!$C$12="Vermont"),SUM($C$6:$F$11,$C$15:$F$16,$C$37:$D$37)&lt;&gt;0),K$15-K$16,0)</f>
        <v>37280199.577582501</v>
      </c>
      <c r="G17" s="314"/>
      <c r="H17" s="114">
        <f>H$15-H$16+IF(AND(OR('Company Information'!$C$12="District of Columbia",'Company Information'!$C$12="Massachusetts",'Company Information'!$C$12="Vermont"),SUM($H$6:$K$11,$H$15:$K$16,$H$37:$I$37)&lt;&gt;0),C$15-C$16,0)</f>
        <v>101743186.38</v>
      </c>
      <c r="I17" s="115">
        <f>I$15-I$16+IF(AND(OR('Company Information'!$C$12="District of Columbia",'Company Information'!$C$12="Massachusetts",'Company Information'!$C$12="Vermont"),SUM($H$6:$K$11,$H$15:$K$16,$H$37:$I$37)&lt;&gt;0),D$15-D$16,0)</f>
        <v>102315121.1663001</v>
      </c>
      <c r="J17" s="115">
        <f>J$15-J$16+IF(AND(OR('Company Information'!$C$12="District of Columbia",'Company Information'!$C$12="Massachusetts",'Company Information'!$C$12="Vermont"),SUM($H$6:$K$11,$H$15:$K$16,$H$37:$I$37)&lt;&gt;0),E$15-E$16,0)</f>
        <v>110439382.10369532</v>
      </c>
      <c r="K17" s="115">
        <f>K$15-K$16+IF(AND(OR('Company Information'!$C$12="District of Columbia",'Company Information'!$C$12="Massachusetts",'Company Information'!$C$12="Vermont"),SUM($H$6:$K$11,$H$15:$K$16,$H$37:$I$37)&lt;&gt;0),F$15-F$16,0)</f>
        <v>314497689.64999545</v>
      </c>
      <c r="L17" s="314"/>
      <c r="M17" s="114">
        <f>M$15-M$16</f>
        <v>86991312.449999988</v>
      </c>
      <c r="N17" s="115">
        <f>N$15-N$16</f>
        <v>94424787.252037719</v>
      </c>
      <c r="O17" s="115">
        <f>O$15-O$16</f>
        <v>89282471.544485673</v>
      </c>
      <c r="P17" s="115">
        <f>P$15-P$16</f>
        <v>270698571.24652338</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f>AL$15-AL$16</f>
        <v>0</v>
      </c>
      <c r="AM17" s="115">
        <f>AM$15-AM$16</f>
        <v>0</v>
      </c>
      <c r="AN17" s="253">
        <f>AN$15-AN$16</f>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41882228</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4764174</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1.1470988351650242</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4.8300000000000003E-2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2858845.5954000005</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-10134964</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2858845.5954000005</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9570929.5954</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9570929.5954</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11013700.055400001</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9250197.6000000015</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28888418.404600002</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9250197.6000000015</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29209150.399999999</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1.4338735439562802</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8999305</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8999305</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46.583333333333336</v>
      </c>
      <c r="D37" s="122">
        <v>38</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10595.166666666666</v>
      </c>
      <c r="F37" s="256">
        <f>SUM(C$37:E$37)+IF(AND(OR('Company Information'!$C$12="District of Columbia",'Company Information'!$C$12="Massachusetts",'Company Information'!$C$12="Vermont"),SUM($C$6:$F$11,$C$15:$F$16,$C$37:$D$37)&lt;&gt;0,SUM(C$37:D$37)&lt;&gt;SUM(H$37:I$37)),SUM(H$37:I$37),0)</f>
        <v>10679.75</v>
      </c>
      <c r="G37" s="312"/>
      <c r="H37" s="121">
        <v>28951.916666666668</v>
      </c>
      <c r="I37" s="122">
        <v>28301</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28150.333333333332</v>
      </c>
      <c r="K37" s="256">
        <f>SUM(H$37:J$37)+IF(AND(OR('Company Information'!$C$12="District of Columbia",'Company Information'!$C$12="Massachusetts",'Company Information'!$C$12="Vermont"),SUM($H$6:$K$11,$H$15:$K$16,$H$37:$I$37)&lt;&gt;0,SUM(H$37:I$37)&lt;&gt;SUM(C$37:D$37)),SUM(C$37:D$37),0)</f>
        <v>85403.25</v>
      </c>
      <c r="L37" s="312"/>
      <c r="M37" s="121">
        <v>21309.333333333332</v>
      </c>
      <c r="N37" s="122">
        <v>22665</v>
      </c>
      <c r="O37" s="256">
        <f>('Pt 1 Summary of Data'!Q$59+'Pt 1 Summary of Data'!S$59-'Pt 1 Summary of Data'!T$59)/12</f>
        <v>20692.416666666668</v>
      </c>
      <c r="P37" s="256">
        <f>SUM(M$37:O$37)</f>
        <v>64666.75</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f>('Pt 1 Summary of Data'!AO$59+'Pt 1 Summary of Data'!AQ$59-'Pt 1 Summary of Data'!AR$59)/12</f>
        <v>0</v>
      </c>
      <c r="AN37" s="257">
        <f>IF(AM$37&lt;75000,AL37+AM37,AM37)</f>
        <v>0</v>
      </c>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2.5546833333333331E-2</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4.9599600000000002E-3</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197" t="s">
        <v>323</v>
      </c>
      <c r="C39" s="292"/>
      <c r="D39" s="288"/>
      <c r="E39" s="288"/>
      <c r="F39" s="110"/>
      <c r="G39" s="311"/>
      <c r="H39" s="292"/>
      <c r="I39" s="288"/>
      <c r="J39" s="288"/>
      <c r="K39" s="110">
        <v>2774.1439623071046</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1.1900985052116362</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1" t="s">
        <v>325</v>
      </c>
      <c r="C41" s="292"/>
      <c r="D41" s="288"/>
      <c r="E41" s="288"/>
      <c r="F41" s="260">
        <f ca="1">IF(OR(F$37&lt;1000,F$37&gt;=75000),0,F$38*F$40)</f>
        <v>2.5546833333333331E-2</v>
      </c>
      <c r="G41" s="311"/>
      <c r="H41" s="292"/>
      <c r="I41" s="288"/>
      <c r="J41" s="288"/>
      <c r="K41" s="260">
        <f>IF(OR(K$37&lt;1000,K$37&gt;=75000),0,K$38*K$40)</f>
        <v>0</v>
      </c>
      <c r="L41" s="311"/>
      <c r="M41" s="292"/>
      <c r="N41" s="288"/>
      <c r="O41" s="288"/>
      <c r="P41" s="260">
        <f ca="1">IF(OR(P$37&lt;1000,P$37&gt;=75000),0,P$38*P$40)</f>
        <v>4.9599600000000002E-3</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f>IF(OR(AN$37&lt;1000,AN$37&gt;=75000),0,AN$38*AN$40)</f>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f>IF(OR(E$37&lt;1000,E$17&lt;=0),"",E$12/E$17)</f>
        <v>0.92067652849940984</v>
      </c>
      <c r="F44" s="260">
        <f>IF(OR(F$37&lt;1000,F$17&lt;=0),"",F$12/F$17)</f>
        <v>0.93754586016533636</v>
      </c>
      <c r="G44" s="311"/>
      <c r="H44" s="262">
        <f>IF(OR(H$37&lt;1000,H$17&lt;=0),"",H$12/H$17)</f>
        <v>0.80772692155352599</v>
      </c>
      <c r="I44" s="260">
        <f>IF(OR(I$37&lt;1000,I$17&lt;=0),"",I$12/I$17)</f>
        <v>0.7799492805828121</v>
      </c>
      <c r="J44" s="260">
        <f>IF(OR(J$37&lt;1000,J$17&lt;=0),"",J$12/J$17)</f>
        <v>0.78849121762124696</v>
      </c>
      <c r="K44" s="260">
        <f>IF(OR(K$37&lt;1000,K$17&lt;=0),"",K$12/K$17)</f>
        <v>0.79193522539267247</v>
      </c>
      <c r="L44" s="311"/>
      <c r="M44" s="262">
        <f>IF(OR(M$37&lt;1000,M$17&lt;=0),"",M$12/M$17)</f>
        <v>0.86584732745040893</v>
      </c>
      <c r="N44" s="260">
        <f>IF(OR(N$37&lt;1000,N$17&lt;=0),"",N$12/N$17)</f>
        <v>0.85646090125933283</v>
      </c>
      <c r="O44" s="260">
        <f>IF(OR(O$37&lt;1000,O$17&lt;=0),"",O$12/O$17)</f>
        <v>0.91157008296603137</v>
      </c>
      <c r="P44" s="260">
        <f>IF(OR(P$37&lt;1000,P$17&lt;=0),"",P$12/P$17)</f>
        <v>0.87765355645041054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t="str">
        <f>IF(OR(AL$37&lt;1000,AL$17&lt;=0),"",AL$13/AL$17)</f>
        <v/>
      </c>
      <c r="AM45" s="260" t="str">
        <f>IF(OR(AM$37&lt;1000,AM$17&lt;=0),"",AM$13/AM$17)</f>
        <v/>
      </c>
      <c r="AN45" s="261" t="str">
        <f>IF(OR(AN$37&lt;1000,AN$17&lt;=0),"",AN$13/AN$17)</f>
        <v/>
      </c>
    </row>
    <row r="46" spans="1:40" x14ac:dyDescent="0.2">
      <c r="B46" s="197" t="s">
        <v>330</v>
      </c>
      <c r="C46" s="292"/>
      <c r="D46" s="288"/>
      <c r="E46" s="288"/>
      <c r="F46" s="260">
        <f ca="1">IF(F$44="","",F$41)</f>
        <v>2.5546833333333331E-2</v>
      </c>
      <c r="G46" s="311"/>
      <c r="H46" s="292"/>
      <c r="I46" s="288"/>
      <c r="J46" s="288"/>
      <c r="K46" s="260">
        <f>IF(K$44="","",K$41)</f>
        <v>0</v>
      </c>
      <c r="L46" s="311"/>
      <c r="M46" s="292"/>
      <c r="N46" s="288"/>
      <c r="O46" s="288"/>
      <c r="P46" s="260">
        <f ca="1">IF(P$44="","",P$41)</f>
        <v>4.9599600000000002E-3</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t="str">
        <f>IF(AN$45="","",AN$41)</f>
        <v/>
      </c>
    </row>
    <row r="47" spans="1:40" s="76" customFormat="1" x14ac:dyDescent="0.2">
      <c r="A47" s="143"/>
      <c r="B47" s="199" t="s">
        <v>329</v>
      </c>
      <c r="C47" s="292"/>
      <c r="D47" s="288"/>
      <c r="E47" s="288"/>
      <c r="F47" s="260">
        <f ca="1">IF(F$44="","",ROUND(F$44+MAX(0,F$46),3))</f>
        <v>0.96299999999999997</v>
      </c>
      <c r="G47" s="311"/>
      <c r="H47" s="292"/>
      <c r="I47" s="288"/>
      <c r="J47" s="288"/>
      <c r="K47" s="260">
        <f>IF(K$44="","",ROUND(K$44+MAX(0,K$46),3))</f>
        <v>0.79200000000000004</v>
      </c>
      <c r="L47" s="311"/>
      <c r="M47" s="292"/>
      <c r="N47" s="288"/>
      <c r="O47" s="288"/>
      <c r="P47" s="260">
        <f ca="1">IF(P$44="","",ROUND(P$44+MAX(0,P$46),3))</f>
        <v>0.88300000000000001</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t="str">
        <f>IF(AN$45="","",ROUND(AN$45+MAX(0,AN$46),3))</f>
        <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v>
      </c>
      <c r="D49" s="141">
        <v>0</v>
      </c>
      <c r="E49" s="141">
        <v>0</v>
      </c>
      <c r="F49" s="141">
        <v>0</v>
      </c>
      <c r="G49" s="312"/>
      <c r="H49" s="140">
        <v>0</v>
      </c>
      <c r="I49" s="141">
        <v>0</v>
      </c>
      <c r="J49" s="141">
        <v>0</v>
      </c>
      <c r="K49" s="141">
        <v>0</v>
      </c>
      <c r="L49" s="312"/>
      <c r="M49" s="140">
        <v>0</v>
      </c>
      <c r="N49" s="141">
        <v>0</v>
      </c>
      <c r="O49" s="141">
        <v>0</v>
      </c>
      <c r="P49" s="141">
        <v>0</v>
      </c>
      <c r="Q49" s="140">
        <v>0</v>
      </c>
      <c r="R49" s="141">
        <v>0</v>
      </c>
      <c r="S49" s="141">
        <v>0</v>
      </c>
      <c r="T49" s="141">
        <v>0</v>
      </c>
      <c r="U49" s="140">
        <v>0</v>
      </c>
      <c r="V49" s="141">
        <v>0</v>
      </c>
      <c r="W49" s="141">
        <v>0</v>
      </c>
      <c r="X49" s="141">
        <v>0</v>
      </c>
      <c r="Y49" s="140">
        <v>0</v>
      </c>
      <c r="Z49" s="141">
        <v>0</v>
      </c>
      <c r="AA49" s="141">
        <v>0</v>
      </c>
      <c r="AB49" s="141">
        <v>0</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0.96299999999999997</v>
      </c>
      <c r="G50" s="311"/>
      <c r="H50" s="293"/>
      <c r="I50" s="289"/>
      <c r="J50" s="289"/>
      <c r="K50" s="260">
        <f>K$47</f>
        <v>0.79200000000000004</v>
      </c>
      <c r="L50" s="311"/>
      <c r="M50" s="293"/>
      <c r="N50" s="289"/>
      <c r="O50" s="289"/>
      <c r="P50" s="260">
        <f ca="1">P$47</f>
        <v>0.88300000000000001</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t="str">
        <f>AN$47</f>
        <v/>
      </c>
    </row>
    <row r="51" spans="1:40" x14ac:dyDescent="0.2">
      <c r="B51" s="195" t="s">
        <v>334</v>
      </c>
      <c r="C51" s="292"/>
      <c r="D51" s="288"/>
      <c r="E51" s="288"/>
      <c r="F51" s="115">
        <f>IF(F$37&lt;1000,"",MAX(0,E$15-E$16))</f>
        <v>36065296.207582504</v>
      </c>
      <c r="G51" s="311"/>
      <c r="H51" s="292"/>
      <c r="I51" s="288"/>
      <c r="J51" s="288"/>
      <c r="K51" s="115">
        <f>IF(K$37&lt;1000,"",MAX(0,J$15-J$16))</f>
        <v>110439382.10369532</v>
      </c>
      <c r="L51" s="311"/>
      <c r="M51" s="292"/>
      <c r="N51" s="288"/>
      <c r="O51" s="288"/>
      <c r="P51" s="115">
        <f>IF(P$37&lt;1000,"",MAX(0,O$15-O$16))</f>
        <v>89282471.544485673</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t="str">
        <f>IF(AN$37&lt;1000,"",MAX(0,AM$15-AM$16))</f>
        <v/>
      </c>
    </row>
    <row r="52" spans="1:40" s="76" customFormat="1" ht="26.25" customHeight="1" x14ac:dyDescent="0.2">
      <c r="A52" s="143"/>
      <c r="B52" s="192" t="s">
        <v>335</v>
      </c>
      <c r="C52" s="292"/>
      <c r="D52" s="288"/>
      <c r="E52" s="288"/>
      <c r="F52" s="115">
        <f ca="1">IF(OR(F$37&lt;1000,F$17&lt;=0),0,MAX(0,F$49-F$50)*F$51)</f>
        <v>0</v>
      </c>
      <c r="G52" s="311"/>
      <c r="H52" s="292"/>
      <c r="I52" s="288"/>
      <c r="J52" s="288"/>
      <c r="K52" s="115">
        <v>883515.05682956323</v>
      </c>
      <c r="L52" s="311"/>
      <c r="M52" s="292"/>
      <c r="N52" s="288"/>
      <c r="O52" s="288"/>
      <c r="P52" s="115">
        <f ca="1">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f>IF(OR(AN$37&lt;1000,AN$17&lt;=0),0,MAX(0,AN$49-AN$50)*AN$51)</f>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v>684305.47522721661</v>
      </c>
      <c r="J55" s="288"/>
      <c r="K55" s="288"/>
      <c r="L55" s="311"/>
      <c r="M55" s="292"/>
      <c r="N55" s="110">
        <v>333687.88316710328</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v>37898.069559146075</v>
      </c>
      <c r="J56" s="288"/>
      <c r="K56" s="288"/>
      <c r="L56" s="311"/>
      <c r="M56" s="292"/>
      <c r="N56" s="110">
        <v>8324.9554454831541</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8206</v>
      </c>
      <c r="D4" s="149">
        <f>'Pt 1 Summary of Data'!$K$56+'Pt 1 Summary of Data'!$M$56-'Pt 1 Summary of Data'!$N$56</f>
        <v>14772</v>
      </c>
      <c r="E4" s="149">
        <f>'Pt 1 Summary of Data'!$Q$56+'Pt 1 Summary of Data'!$S$56-'Pt 1 Summary of Data'!$T$56</f>
        <v>9881</v>
      </c>
      <c r="F4" s="149">
        <f>'Pt 1 Summary of Data'!$V$56</f>
        <v>0</v>
      </c>
      <c r="G4" s="149">
        <f>'Pt 1 Summary of Data'!$Y$56</f>
        <v>0</v>
      </c>
      <c r="H4" s="149">
        <f>'Pt 1 Summary of Data'!$AB$56</f>
        <v>0</v>
      </c>
      <c r="I4" s="364"/>
      <c r="J4" s="364"/>
      <c r="K4" s="208">
        <f>'Pt 1 Summary of Data'!$AO$56+'Pt 1 Summary of Data'!$AQ$56-'Pt 1 Summary of Data'!$AR$56</f>
        <v>0</v>
      </c>
    </row>
    <row r="5" spans="2:11" ht="16.5" x14ac:dyDescent="0.25">
      <c r="B5" s="205" t="s">
        <v>348</v>
      </c>
      <c r="C5" s="263"/>
      <c r="D5" s="264"/>
      <c r="E5" s="264"/>
      <c r="F5" s="264"/>
      <c r="G5" s="264"/>
      <c r="H5" s="264"/>
      <c r="I5" s="264"/>
      <c r="J5" s="264"/>
      <c r="K5" s="265"/>
    </row>
    <row r="6" spans="2:11" x14ac:dyDescent="0.2">
      <c r="B6" s="206" t="s">
        <v>101</v>
      </c>
      <c r="C6" s="362"/>
      <c r="D6" s="123">
        <v>1762</v>
      </c>
      <c r="E6" s="123"/>
      <c r="F6" s="363"/>
      <c r="G6" s="123"/>
      <c r="H6" s="123"/>
      <c r="I6" s="363"/>
      <c r="J6" s="363"/>
      <c r="K6" s="372"/>
    </row>
    <row r="7" spans="2:11" x14ac:dyDescent="0.2">
      <c r="B7" s="155" t="s">
        <v>102</v>
      </c>
      <c r="C7" s="124"/>
      <c r="D7" s="126">
        <v>181</v>
      </c>
      <c r="E7" s="126"/>
      <c r="F7" s="126"/>
      <c r="G7" s="126"/>
      <c r="H7" s="126"/>
      <c r="I7" s="374"/>
      <c r="J7" s="374"/>
      <c r="K7" s="209"/>
    </row>
    <row r="8" spans="2:11" x14ac:dyDescent="0.2">
      <c r="B8" s="155" t="s">
        <v>103</v>
      </c>
      <c r="C8" s="361"/>
      <c r="D8" s="126">
        <v>7</v>
      </c>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'Pt 3 MLR and Rebate Calculation'!$K$52</f>
        <v>883515.05682956323</v>
      </c>
      <c r="E11" s="119">
        <f ca="1">'Pt 3 MLR and Rebate Calculation'!$P$52</f>
        <v>0</v>
      </c>
      <c r="F11" s="119">
        <f>'Pt 3 MLR and Rebate Calculation'!$T$52</f>
        <v>0</v>
      </c>
      <c r="G11" s="119">
        <f>'Pt 3 MLR and Rebate Calculation'!$X$52</f>
        <v>0</v>
      </c>
      <c r="H11" s="119">
        <f>'Pt 3 MLR and Rebate Calculation'!$AB$52</f>
        <v>0</v>
      </c>
      <c r="I11" s="312"/>
      <c r="J11" s="312"/>
      <c r="K11" s="365">
        <f>'Pt 3 MLR and Rebate Calculation'!$AN$52</f>
        <v>0</v>
      </c>
    </row>
    <row r="12" spans="2:11" x14ac:dyDescent="0.2">
      <c r="B12" s="207" t="s">
        <v>93</v>
      </c>
      <c r="C12" s="109"/>
      <c r="D12" s="113">
        <v>-15.8</v>
      </c>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883515.05682956323</v>
      </c>
      <c r="E14" s="113">
        <v>0</v>
      </c>
      <c r="F14" s="113"/>
      <c r="G14" s="113"/>
      <c r="H14" s="113"/>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c r="D16" s="119">
        <v>306945.36349890061</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6772.0500000000011</v>
      </c>
      <c r="E22" s="212"/>
      <c r="F22" s="212"/>
      <c r="G22" s="212"/>
      <c r="H22" s="212"/>
      <c r="I22" s="359"/>
      <c r="J22" s="359"/>
      <c r="K22" s="368"/>
    </row>
    <row r="23" spans="2:12" s="5" customFormat="1" ht="100.15" customHeight="1" x14ac:dyDescent="0.2">
      <c r="B23" s="102" t="s">
        <v>212</v>
      </c>
      <c r="C23" s="381" t="s">
        <v>531</v>
      </c>
      <c r="D23" s="382"/>
      <c r="E23" s="382"/>
      <c r="F23" s="382"/>
      <c r="G23" s="382"/>
      <c r="H23" s="382"/>
      <c r="I23" s="382"/>
      <c r="J23" s="382"/>
      <c r="K23" s="383"/>
    </row>
    <row r="24" spans="2:12" s="5" customFormat="1" ht="100.15" customHeight="1" x14ac:dyDescent="0.2">
      <c r="B24" s="101" t="s">
        <v>213</v>
      </c>
      <c r="C24" s="384" t="s">
        <v>532</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t="s">
        <v>504</v>
      </c>
      <c r="C10" s="28"/>
      <c r="D10" s="29"/>
      <c r="E10" s="29"/>
      <c r="F10" s="29"/>
      <c r="G10" s="29"/>
      <c r="H10" s="29"/>
      <c r="I10" s="27"/>
      <c r="J10" s="27"/>
      <c r="K10" s="2"/>
    </row>
    <row r="11" spans="1:12" s="5" customFormat="1" ht="18" customHeight="1" x14ac:dyDescent="0.2">
      <c r="B11" s="66" t="s">
        <v>507</v>
      </c>
      <c r="C11" s="28"/>
      <c r="D11" s="29"/>
      <c r="E11" s="29"/>
      <c r="F11" s="29"/>
      <c r="G11" s="29"/>
      <c r="H11" s="29"/>
      <c r="I11" s="27"/>
      <c r="J11" s="27"/>
      <c r="K11" s="2"/>
    </row>
    <row r="12" spans="1:12" s="5" customFormat="1" ht="18" customHeight="1" x14ac:dyDescent="0.2">
      <c r="B12" s="66" t="s">
        <v>508</v>
      </c>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509</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510</v>
      </c>
      <c r="E27" s="7"/>
    </row>
    <row r="28" spans="2:5" ht="35.25" customHeight="1" x14ac:dyDescent="0.2">
      <c r="B28" s="219"/>
      <c r="C28" s="150"/>
      <c r="D28" s="222" t="s">
        <v>511</v>
      </c>
      <c r="E28" s="7"/>
    </row>
    <row r="29" spans="2:5" ht="35.25" customHeight="1" x14ac:dyDescent="0.2">
      <c r="B29" s="219"/>
      <c r="C29" s="150"/>
      <c r="D29" s="222" t="s">
        <v>512</v>
      </c>
      <c r="E29" s="7"/>
    </row>
    <row r="30" spans="2:5" ht="35.25" customHeight="1" x14ac:dyDescent="0.2">
      <c r="B30" s="219"/>
      <c r="C30" s="150"/>
      <c r="D30" s="222" t="s">
        <v>513</v>
      </c>
      <c r="E30" s="7"/>
    </row>
    <row r="31" spans="2:5" ht="35.25" customHeight="1" x14ac:dyDescent="0.2">
      <c r="B31" s="219"/>
      <c r="C31" s="150"/>
      <c r="D31" s="222" t="s">
        <v>514</v>
      </c>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515</v>
      </c>
      <c r="E34" s="7"/>
    </row>
    <row r="35" spans="2:5" ht="35.25" customHeight="1" x14ac:dyDescent="0.2">
      <c r="B35" s="219"/>
      <c r="C35" s="150"/>
      <c r="D35" s="222" t="s">
        <v>516</v>
      </c>
      <c r="E35" s="7"/>
    </row>
    <row r="36" spans="2:5" ht="35.25" customHeight="1" x14ac:dyDescent="0.2">
      <c r="B36" s="219"/>
      <c r="C36" s="150"/>
      <c r="D36" s="222" t="s">
        <v>517</v>
      </c>
      <c r="E36" s="7"/>
    </row>
    <row r="37" spans="2:5" ht="35.25" customHeight="1" x14ac:dyDescent="0.2">
      <c r="B37" s="219"/>
      <c r="C37" s="150"/>
      <c r="D37" s="222" t="s">
        <v>518</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520</v>
      </c>
      <c r="E48" s="7"/>
    </row>
    <row r="49" spans="2:5" ht="35.25" customHeight="1" x14ac:dyDescent="0.2">
      <c r="B49" s="219"/>
      <c r="C49" s="150"/>
      <c r="D49" s="222" t="s">
        <v>521</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522</v>
      </c>
      <c r="E56" s="7"/>
    </row>
    <row r="57" spans="2:5" ht="35.25" customHeight="1" x14ac:dyDescent="0.2">
      <c r="B57" s="219"/>
      <c r="C57" s="152"/>
      <c r="D57" s="222" t="s">
        <v>523</v>
      </c>
      <c r="E57" s="7"/>
    </row>
    <row r="58" spans="2:5" ht="35.25" customHeight="1" x14ac:dyDescent="0.2">
      <c r="B58" s="219"/>
      <c r="C58" s="152"/>
      <c r="D58" s="222" t="s">
        <v>524</v>
      </c>
      <c r="E58" s="7"/>
    </row>
    <row r="59" spans="2:5" ht="35.25" customHeight="1" x14ac:dyDescent="0.2">
      <c r="B59" s="219"/>
      <c r="C59" s="152"/>
      <c r="D59" s="222" t="s">
        <v>525</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522</v>
      </c>
      <c r="E67" s="7"/>
    </row>
    <row r="68" spans="2:5" ht="35.25" customHeight="1" x14ac:dyDescent="0.2">
      <c r="B68" s="219"/>
      <c r="C68" s="152"/>
      <c r="D68" s="222" t="s">
        <v>523</v>
      </c>
      <c r="E68" s="7"/>
    </row>
    <row r="69" spans="2:5" ht="35.25" customHeight="1" x14ac:dyDescent="0.2">
      <c r="B69" s="219"/>
      <c r="C69" s="152"/>
      <c r="D69" s="222" t="s">
        <v>524</v>
      </c>
      <c r="E69" s="7"/>
    </row>
    <row r="70" spans="2:5" ht="35.25" customHeight="1" x14ac:dyDescent="0.2">
      <c r="B70" s="219"/>
      <c r="C70" s="152"/>
      <c r="D70" s="222" t="s">
        <v>525</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522</v>
      </c>
      <c r="E78" s="7"/>
    </row>
    <row r="79" spans="2:5" ht="35.25" customHeight="1" x14ac:dyDescent="0.2">
      <c r="B79" s="219"/>
      <c r="C79" s="152"/>
      <c r="D79" s="222" t="s">
        <v>523</v>
      </c>
      <c r="E79" s="7"/>
    </row>
    <row r="80" spans="2:5" ht="35.25" customHeight="1" x14ac:dyDescent="0.2">
      <c r="B80" s="219"/>
      <c r="C80" s="152"/>
      <c r="D80" s="222" t="s">
        <v>524</v>
      </c>
      <c r="E80" s="7"/>
    </row>
    <row r="81" spans="2:5" ht="35.25" customHeight="1" x14ac:dyDescent="0.2">
      <c r="B81" s="219"/>
      <c r="C81" s="152"/>
      <c r="D81" s="222" t="s">
        <v>525</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522</v>
      </c>
      <c r="E89" s="7"/>
    </row>
    <row r="90" spans="2:5" ht="35.25" customHeight="1" x14ac:dyDescent="0.2">
      <c r="B90" s="219"/>
      <c r="C90" s="152"/>
      <c r="D90" s="222" t="s">
        <v>523</v>
      </c>
      <c r="E90" s="7"/>
    </row>
    <row r="91" spans="2:5" ht="35.25" customHeight="1" x14ac:dyDescent="0.2">
      <c r="B91" s="219"/>
      <c r="C91" s="152"/>
      <c r="D91" s="222" t="s">
        <v>524</v>
      </c>
      <c r="E91" s="7"/>
    </row>
    <row r="92" spans="2:5" ht="35.25" customHeight="1" x14ac:dyDescent="0.2">
      <c r="B92" s="219"/>
      <c r="C92" s="152"/>
      <c r="D92" s="222" t="s">
        <v>525</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526</v>
      </c>
      <c r="E100" s="7"/>
    </row>
    <row r="101" spans="2:5" ht="35.25" customHeight="1" x14ac:dyDescent="0.2">
      <c r="B101" s="219"/>
      <c r="C101" s="152"/>
      <c r="D101" s="222" t="s">
        <v>527</v>
      </c>
      <c r="E101" s="7"/>
    </row>
    <row r="102" spans="2:5" ht="35.25" customHeight="1" x14ac:dyDescent="0.2">
      <c r="B102" s="219"/>
      <c r="C102" s="152"/>
      <c r="D102" s="222" t="s">
        <v>528</v>
      </c>
      <c r="E102" s="7"/>
    </row>
    <row r="103" spans="2:5" ht="35.25" customHeight="1" x14ac:dyDescent="0.2">
      <c r="B103" s="219"/>
      <c r="C103" s="152"/>
      <c r="D103" s="222" t="s">
        <v>529</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522</v>
      </c>
      <c r="E111" s="27"/>
    </row>
    <row r="112" spans="2:5" s="5" customFormat="1" ht="35.25" customHeight="1" x14ac:dyDescent="0.2">
      <c r="B112" s="219"/>
      <c r="C112" s="152"/>
      <c r="D112" s="222" t="s">
        <v>523</v>
      </c>
      <c r="E112" s="27"/>
    </row>
    <row r="113" spans="2:5" s="5" customFormat="1" ht="35.25" customHeight="1" x14ac:dyDescent="0.2">
      <c r="B113" s="219"/>
      <c r="C113" s="152"/>
      <c r="D113" s="222" t="s">
        <v>524</v>
      </c>
      <c r="E113" s="27"/>
    </row>
    <row r="114" spans="2:5" s="5" customFormat="1" ht="35.25" customHeight="1" x14ac:dyDescent="0.2">
      <c r="B114" s="219"/>
      <c r="C114" s="152"/>
      <c r="D114" s="222" t="s">
        <v>525</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522</v>
      </c>
      <c r="E123" s="7"/>
    </row>
    <row r="124" spans="2:5" s="5" customFormat="1" ht="35.25" customHeight="1" x14ac:dyDescent="0.2">
      <c r="B124" s="219"/>
      <c r="C124" s="150"/>
      <c r="D124" s="222" t="s">
        <v>523</v>
      </c>
      <c r="E124" s="27"/>
    </row>
    <row r="125" spans="2:5" s="5" customFormat="1" ht="35.25" customHeight="1" x14ac:dyDescent="0.2">
      <c r="B125" s="219"/>
      <c r="C125" s="150"/>
      <c r="D125" s="222" t="s">
        <v>524</v>
      </c>
      <c r="E125" s="27"/>
    </row>
    <row r="126" spans="2:5" s="5" customFormat="1" ht="35.25" customHeight="1" x14ac:dyDescent="0.2">
      <c r="B126" s="219"/>
      <c r="C126" s="150"/>
      <c r="D126" s="222" t="s">
        <v>525</v>
      </c>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522</v>
      </c>
      <c r="E134" s="27"/>
    </row>
    <row r="135" spans="2:5" s="5" customFormat="1" ht="35.25" customHeight="1" x14ac:dyDescent="0.2">
      <c r="B135" s="219"/>
      <c r="C135" s="150"/>
      <c r="D135" s="222" t="s">
        <v>523</v>
      </c>
      <c r="E135" s="27"/>
    </row>
    <row r="136" spans="2:5" s="5" customFormat="1" ht="35.25" customHeight="1" x14ac:dyDescent="0.2">
      <c r="B136" s="219"/>
      <c r="C136" s="150"/>
      <c r="D136" s="222" t="s">
        <v>524</v>
      </c>
      <c r="E136" s="27"/>
    </row>
    <row r="137" spans="2:5" s="5" customFormat="1" ht="35.25" customHeight="1" x14ac:dyDescent="0.2">
      <c r="B137" s="219"/>
      <c r="C137" s="150"/>
      <c r="D137" s="222" t="s">
        <v>525</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523</v>
      </c>
      <c r="E145" s="27"/>
    </row>
    <row r="146" spans="2:5" s="5" customFormat="1" ht="35.25" customHeight="1" x14ac:dyDescent="0.2">
      <c r="B146" s="219"/>
      <c r="C146" s="150"/>
      <c r="D146" s="222" t="s">
        <v>524</v>
      </c>
      <c r="E146" s="27"/>
    </row>
    <row r="147" spans="2:5" s="5" customFormat="1" ht="35.25" customHeight="1" x14ac:dyDescent="0.2">
      <c r="B147" s="219"/>
      <c r="C147" s="150"/>
      <c r="D147" s="222" t="s">
        <v>525</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523</v>
      </c>
      <c r="E167" s="27"/>
    </row>
    <row r="168" spans="2:5" s="5" customFormat="1" ht="35.25" customHeight="1" x14ac:dyDescent="0.2">
      <c r="B168" s="219"/>
      <c r="C168" s="150"/>
      <c r="D168" s="222" t="s">
        <v>524</v>
      </c>
      <c r="E168" s="27"/>
    </row>
    <row r="169" spans="2:5" s="5" customFormat="1" ht="35.25" customHeight="1" x14ac:dyDescent="0.2">
      <c r="B169" s="219"/>
      <c r="C169" s="150"/>
      <c r="D169" s="222" t="s">
        <v>525</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523</v>
      </c>
      <c r="E178" s="27"/>
    </row>
    <row r="179" spans="2:5" s="5" customFormat="1" ht="35.25" customHeight="1" x14ac:dyDescent="0.2">
      <c r="B179" s="219"/>
      <c r="C179" s="150"/>
      <c r="D179" s="222" t="s">
        <v>524</v>
      </c>
      <c r="E179" s="27"/>
    </row>
    <row r="180" spans="2:5" s="5" customFormat="1" ht="35.25" customHeight="1" x14ac:dyDescent="0.2">
      <c r="B180" s="219"/>
      <c r="C180" s="150"/>
      <c r="D180" s="222" t="s">
        <v>525</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522</v>
      </c>
      <c r="E200" s="27"/>
    </row>
    <row r="201" spans="2:5" s="5" customFormat="1" ht="35.25" customHeight="1" x14ac:dyDescent="0.2">
      <c r="B201" s="219"/>
      <c r="C201" s="150"/>
      <c r="D201" s="222" t="s">
        <v>523</v>
      </c>
      <c r="E201" s="27"/>
    </row>
    <row r="202" spans="2:5" s="5" customFormat="1" ht="35.25" customHeight="1" x14ac:dyDescent="0.2">
      <c r="B202" s="219"/>
      <c r="C202" s="150"/>
      <c r="D202" s="222" t="s">
        <v>524</v>
      </c>
      <c r="E202" s="27"/>
    </row>
    <row r="203" spans="2:5" s="5" customFormat="1" ht="35.25" customHeight="1" x14ac:dyDescent="0.2">
      <c r="B203" s="219"/>
      <c r="C203" s="150"/>
      <c r="D203" s="222" t="s">
        <v>525</v>
      </c>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2015-07-23T02:21:34Z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