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K11" i="16"/>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7" i="10" s="1"/>
  <c r="AB50" i="10" s="1"/>
  <c r="AA45" i="10"/>
  <c r="Z45" i="10"/>
  <c r="Y45" i="10"/>
  <c r="X45" i="10"/>
  <c r="X46" i="10" s="1"/>
  <c r="W45" i="10"/>
  <c r="V45" i="10"/>
  <c r="U45" i="10"/>
  <c r="T45" i="10"/>
  <c r="T47" i="10" s="1"/>
  <c r="T50" i="10" s="1"/>
  <c r="S45" i="10"/>
  <c r="R45" i="10"/>
  <c r="Q45" i="10"/>
  <c r="O44" i="10"/>
  <c r="N44" i="10"/>
  <c r="M44" i="10"/>
  <c r="AN41" i="10"/>
  <c r="AB41" i="10"/>
  <c r="X41" i="10"/>
  <c r="T41" i="10"/>
  <c r="AN40" i="10"/>
  <c r="AB40" i="10"/>
  <c r="X40" i="10"/>
  <c r="T40" i="10"/>
  <c r="P40" i="10"/>
  <c r="K40" i="10"/>
  <c r="F40" i="10"/>
  <c r="AN38" i="10"/>
  <c r="AB38" i="10"/>
  <c r="P38" i="10"/>
  <c r="AN37" i="10"/>
  <c r="AM37" i="10"/>
  <c r="AN7" i="10" s="1"/>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T13" i="10" s="1"/>
  <c r="P17" i="10"/>
  <c r="O17" i="10"/>
  <c r="N17" i="10"/>
  <c r="M17" i="10"/>
  <c r="AN16" i="10"/>
  <c r="AM16" i="10"/>
  <c r="AB16" i="10"/>
  <c r="AA16" i="10"/>
  <c r="X16" i="10"/>
  <c r="W16" i="10"/>
  <c r="T16" i="10"/>
  <c r="S16" i="10"/>
  <c r="P16" i="10"/>
  <c r="O16" i="10"/>
  <c r="L16" i="10"/>
  <c r="K16" i="10"/>
  <c r="J16" i="10"/>
  <c r="G16" i="10"/>
  <c r="F16" i="10"/>
  <c r="E16" i="10"/>
  <c r="AN15" i="10"/>
  <c r="AN17" i="10" s="1"/>
  <c r="AM15" i="10"/>
  <c r="AB15" i="10"/>
  <c r="AA15" i="10"/>
  <c r="X15" i="10"/>
  <c r="W15" i="10"/>
  <c r="U13" i="10" s="1"/>
  <c r="T15" i="10"/>
  <c r="S15" i="10"/>
  <c r="P15" i="10"/>
  <c r="O15" i="10"/>
  <c r="L15" i="10"/>
  <c r="G15" i="10"/>
  <c r="AN13" i="10"/>
  <c r="AM13" i="10"/>
  <c r="AL13" i="10"/>
  <c r="AB13" i="10"/>
  <c r="AA13" i="10"/>
  <c r="Z13" i="10"/>
  <c r="Y13" i="10"/>
  <c r="W13" i="10"/>
  <c r="V13" i="10"/>
  <c r="R13" i="10"/>
  <c r="P12" i="10"/>
  <c r="P44" i="10" s="1"/>
  <c r="O12" i="10"/>
  <c r="N12" i="10"/>
  <c r="M12" i="10"/>
  <c r="K11" i="10"/>
  <c r="J11" i="10"/>
  <c r="F11" i="10"/>
  <c r="E11" i="10"/>
  <c r="L10" i="10"/>
  <c r="K10" i="10"/>
  <c r="J10" i="10"/>
  <c r="G10" i="10"/>
  <c r="F10" i="10"/>
  <c r="E10" i="10"/>
  <c r="G9" i="10"/>
  <c r="F9" i="10"/>
  <c r="E9" i="10"/>
  <c r="F8" i="10"/>
  <c r="AM7" i="10"/>
  <c r="AB7" i="10"/>
  <c r="AA7" i="10"/>
  <c r="X7" i="10"/>
  <c r="W7" i="10"/>
  <c r="T7" i="10"/>
  <c r="S7" i="10"/>
  <c r="P7" i="10"/>
  <c r="O7" i="10"/>
  <c r="L7" i="10"/>
  <c r="E7" i="10"/>
  <c r="F7" i="10" s="1"/>
  <c r="AN6" i="10"/>
  <c r="AM6" i="10"/>
  <c r="AB6" i="10"/>
  <c r="AA6" i="10"/>
  <c r="X6" i="10"/>
  <c r="W6" i="10"/>
  <c r="T6" i="10"/>
  <c r="S6" i="10"/>
  <c r="P6" i="10"/>
  <c r="O6" i="10"/>
  <c r="L6" i="10"/>
  <c r="K6" i="10"/>
  <c r="J6" i="10"/>
  <c r="G6" i="10"/>
  <c r="F6" i="10"/>
  <c r="E6" i="10"/>
  <c r="AU55" i="18"/>
  <c r="AT55" i="18"/>
  <c r="AS55" i="18"/>
  <c r="AR55" i="18"/>
  <c r="AQ55" i="18"/>
  <c r="AP55" i="18"/>
  <c r="AO55" i="18"/>
  <c r="AN55" i="18"/>
  <c r="AC55" i="18"/>
  <c r="AB55" i="18"/>
  <c r="AA55" i="18"/>
  <c r="AA22" i="4" s="1"/>
  <c r="Z55" i="18"/>
  <c r="Y55" i="18"/>
  <c r="Y22" i="4" s="1"/>
  <c r="X55" i="18"/>
  <c r="W55" i="18"/>
  <c r="V55" i="18"/>
  <c r="V22" i="4" s="1"/>
  <c r="U55" i="18"/>
  <c r="U22" i="4" s="1"/>
  <c r="T55" i="18"/>
  <c r="S55" i="18"/>
  <c r="R55" i="18"/>
  <c r="R22" i="4" s="1"/>
  <c r="Q55" i="18"/>
  <c r="P55" i="18"/>
  <c r="O55" i="18"/>
  <c r="O22" i="4" s="1"/>
  <c r="N55" i="18"/>
  <c r="M55" i="18"/>
  <c r="L55" i="18"/>
  <c r="K55" i="18"/>
  <c r="J55" i="18"/>
  <c r="I55" i="18"/>
  <c r="H55" i="18"/>
  <c r="G55" i="18"/>
  <c r="F55" i="18"/>
  <c r="E55" i="18"/>
  <c r="D55" i="18"/>
  <c r="AU54" i="18"/>
  <c r="AU12" i="4" s="1"/>
  <c r="AT54" i="18"/>
  <c r="AS54" i="18"/>
  <c r="AR54" i="18"/>
  <c r="AQ54" i="18"/>
  <c r="AQ12" i="4" s="1"/>
  <c r="AP54" i="18"/>
  <c r="AO54" i="18"/>
  <c r="AN54" i="18"/>
  <c r="AC54" i="18"/>
  <c r="AB54" i="18"/>
  <c r="AA54" i="18"/>
  <c r="Z54" i="18"/>
  <c r="Z12" i="4" s="1"/>
  <c r="Y54" i="18"/>
  <c r="Y12" i="4" s="1"/>
  <c r="X54" i="18"/>
  <c r="W54" i="18"/>
  <c r="V54" i="18"/>
  <c r="U54" i="18"/>
  <c r="T54" i="18"/>
  <c r="S54" i="18"/>
  <c r="R54" i="18"/>
  <c r="Q54" i="18"/>
  <c r="P54" i="18"/>
  <c r="O54" i="18"/>
  <c r="N54" i="18"/>
  <c r="M54" i="18"/>
  <c r="L54" i="18"/>
  <c r="K54" i="18"/>
  <c r="J54" i="18"/>
  <c r="I54" i="18"/>
  <c r="H54" i="18"/>
  <c r="H12" i="4" s="1"/>
  <c r="G54" i="18"/>
  <c r="F54" i="18"/>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R22" i="4"/>
  <c r="AQ22" i="4"/>
  <c r="AP22" i="4"/>
  <c r="AO22" i="4"/>
  <c r="AN22" i="4"/>
  <c r="AC22" i="4"/>
  <c r="AB22" i="4"/>
  <c r="Z22" i="4"/>
  <c r="X22" i="4"/>
  <c r="W22" i="4"/>
  <c r="T22" i="4"/>
  <c r="S22" i="4"/>
  <c r="Q22" i="4"/>
  <c r="P22" i="4"/>
  <c r="N22" i="4"/>
  <c r="M22" i="4"/>
  <c r="L22" i="4"/>
  <c r="K22" i="4"/>
  <c r="J22" i="4"/>
  <c r="I22" i="4"/>
  <c r="H22" i="4"/>
  <c r="G22" i="4"/>
  <c r="F22" i="4"/>
  <c r="E22" i="4"/>
  <c r="D22" i="4"/>
  <c r="AT12" i="4"/>
  <c r="AS12" i="4"/>
  <c r="AR12" i="4"/>
  <c r="AP12" i="4"/>
  <c r="AO12" i="4"/>
  <c r="AN12" i="4"/>
  <c r="AC12" i="4"/>
  <c r="AB12" i="4"/>
  <c r="AA12" i="4"/>
  <c r="X12" i="4"/>
  <c r="W12" i="4"/>
  <c r="V12" i="4"/>
  <c r="U12" i="4"/>
  <c r="T12" i="4"/>
  <c r="S12" i="4"/>
  <c r="R12" i="4"/>
  <c r="Q12" i="4"/>
  <c r="P12" i="4"/>
  <c r="O12" i="4"/>
  <c r="N12" i="4"/>
  <c r="M12" i="4"/>
  <c r="L12" i="4"/>
  <c r="K12" i="4"/>
  <c r="J12" i="4"/>
  <c r="I12" i="4"/>
  <c r="G12" i="4"/>
  <c r="F12" i="4"/>
  <c r="E12" i="4"/>
  <c r="D12" i="4"/>
  <c r="AU5" i="4"/>
  <c r="AT5" i="4"/>
  <c r="AS5" i="4"/>
  <c r="AR5" i="4"/>
  <c r="AQ5" i="4"/>
  <c r="AP5" i="4"/>
  <c r="AO5" i="4"/>
  <c r="AN5" i="4"/>
  <c r="AC5" i="4"/>
  <c r="AB5" i="4"/>
  <c r="AA5" i="4"/>
  <c r="Z5" i="4"/>
  <c r="Y5" i="4"/>
  <c r="X5" i="4"/>
  <c r="W5" i="4"/>
  <c r="V5" i="4"/>
  <c r="U5" i="4"/>
  <c r="T5" i="4"/>
  <c r="S5" i="4"/>
  <c r="R5" i="4"/>
  <c r="Q5" i="4"/>
  <c r="P5" i="4"/>
  <c r="O5" i="4"/>
  <c r="N5" i="4"/>
  <c r="J7" i="10" s="1"/>
  <c r="M5" i="4"/>
  <c r="L5" i="4"/>
  <c r="K5" i="4"/>
  <c r="J15" i="10" s="1"/>
  <c r="J5" i="4"/>
  <c r="I5" i="4"/>
  <c r="G7" i="10" s="1"/>
  <c r="H5" i="4"/>
  <c r="E15" i="10" s="1"/>
  <c r="G5" i="4"/>
  <c r="F5" i="4"/>
  <c r="E5" i="4"/>
  <c r="D5" i="4"/>
  <c r="K7" i="10" l="1"/>
  <c r="E17" i="10"/>
  <c r="F15" i="10"/>
  <c r="F17" i="10" s="1"/>
  <c r="K15" i="10"/>
  <c r="K17" i="10" s="1"/>
  <c r="D12" i="10"/>
  <c r="D17" i="10"/>
  <c r="D44" i="10" s="1"/>
  <c r="J12" i="10"/>
  <c r="C17" i="10"/>
  <c r="C44" i="10" s="1"/>
  <c r="E37" i="10"/>
  <c r="G20" i="10"/>
  <c r="G29" i="10"/>
  <c r="G19" i="10"/>
  <c r="G24" i="10" s="1"/>
  <c r="G23" i="10" s="1"/>
  <c r="G21" i="10"/>
  <c r="G25" i="10"/>
  <c r="G28" i="10"/>
  <c r="AB46" i="10"/>
  <c r="X47" i="10"/>
  <c r="X50" i="10" s="1"/>
  <c r="T46" i="10"/>
  <c r="X38" i="10"/>
  <c r="P41" i="10"/>
  <c r="P46" i="10" s="1"/>
  <c r="P47" i="10" s="1"/>
  <c r="P50" i="10" s="1"/>
  <c r="E11" i="16" s="1"/>
  <c r="L23" i="10"/>
  <c r="L27" i="10" s="1"/>
  <c r="L31" i="10" s="1"/>
  <c r="L32" i="10" s="1"/>
  <c r="L33" i="10" s="1"/>
  <c r="X13" i="10"/>
  <c r="Q13" i="10"/>
  <c r="H12" i="10"/>
  <c r="E12" i="10"/>
  <c r="C12" i="10"/>
  <c r="S13" i="10"/>
  <c r="I12" i="10" l="1"/>
  <c r="J37" i="10"/>
  <c r="F12" i="10"/>
  <c r="F44" i="10" s="1"/>
  <c r="I17" i="10"/>
  <c r="I44" i="10" s="1"/>
  <c r="E44" i="10"/>
  <c r="F37" i="10"/>
  <c r="H17" i="10"/>
  <c r="H44" i="10" s="1"/>
  <c r="J17" i="10"/>
  <c r="L26" i="10"/>
  <c r="L30" i="10" s="1"/>
  <c r="G27" i="10"/>
  <c r="F38" i="10" l="1"/>
  <c r="F41" i="10" s="1"/>
  <c r="F46" i="10" s="1"/>
  <c r="F47" i="10" s="1"/>
  <c r="F50" i="10" s="1"/>
  <c r="F52" i="10" s="1"/>
  <c r="C11" i="16" s="1"/>
  <c r="F51" i="10"/>
  <c r="J44" i="10"/>
  <c r="K37" i="10"/>
  <c r="K12" i="10"/>
  <c r="G31" i="10"/>
  <c r="G32" i="10" s="1"/>
  <c r="G33" i="10" s="1"/>
  <c r="G26" i="10"/>
  <c r="G30" i="10" s="1"/>
  <c r="K44" i="10" l="1"/>
  <c r="K38" i="10"/>
  <c r="K41" i="10" s="1"/>
  <c r="K51" i="10"/>
  <c r="K46" i="10" l="1"/>
  <c r="K47" i="10" s="1"/>
  <c r="K50" i="10" s="1"/>
  <c r="D11" i="16" s="1"/>
</calcChain>
</file>

<file path=xl/sharedStrings.xml><?xml version="1.0" encoding="utf-8"?>
<sst xmlns="http://schemas.openxmlformats.org/spreadsheetml/2006/main" count="627" uniqueCount="528">
  <si>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</si>
  <si>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</si>
  <si>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</si>
  <si>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</si>
  <si>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</si>
  <si>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</si>
  <si>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</si>
  <si>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</si>
  <si>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</si>
  <si>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</si>
  <si>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</si>
  <si>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</si>
  <si>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</si>
  <si>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</si>
  <si>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</si>
  <si>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</si>
  <si>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</si>
  <si>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</si>
  <si>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</si>
  <si>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</si>
  <si>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</si>
  <si>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</si>
  <si>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</si>
  <si>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</si>
  <si>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</si>
  <si>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</si>
  <si>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</si>
  <si>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</si>
  <si>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</si>
  <si>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</si>
  <si>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</si>
  <si>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</si>
  <si>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</si>
  <si>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</si>
  <si>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</si>
  <si>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</si>
  <si>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</si>
  <si>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</si>
  <si>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</si>
  <si>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</si>
  <si>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</si>
  <si>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</si>
  <si>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</si>
  <si>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</si>
  <si>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</si>
  <si>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</si>
  <si>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</si>
  <si>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</si>
  <si>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</si>
  <si>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</si>
  <si>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</si>
  <si>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</si>
  <si>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</si>
  <si>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</si>
  <si>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</si>
  <si>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</si>
  <si>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</si>
  <si>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</si>
  <si>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</si>
  <si>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</si>
  <si>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</si>
  <si>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</si>
  <si>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</si>
  <si>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</si>
  <si>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</si>
  <si>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</si>
  <si>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</si>
  <si>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</si>
  <si>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</si>
  <si>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</si>
  <si>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</si>
  <si>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</si>
  <si>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</si>
  <si>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</si>
  <si>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</si>
  <si>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</si>
  <si>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</si>
  <si>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</si>
  <si>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</si>
  <si>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</si>
  <si>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</si>
  <si>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</si>
  <si>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</si>
  <si>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</si>
  <si>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</si>
  <si>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</si>
  <si>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</si>
  <si>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</si>
  <si>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</si>
  <si>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</si>
  <si>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</si>
  <si>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</si>
  <si>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</si>
  <si>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</si>
  <si>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</si>
  <si>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</si>
  <si>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</si>
  <si>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</si>
  <si>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</si>
  <si>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</si>
  <si>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</si>
  <si>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</si>
  <si>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</si>
  <si>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</si>
  <si>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</si>
  <si>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</si>
  <si>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</si>
  <si>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</si>
  <si>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</si>
  <si>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</si>
  <si>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</si>
  <si>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</si>
  <si>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</si>
  <si>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</si>
  <si>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</si>
  <si>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</si>
  <si>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</si>
  <si>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</si>
  <si>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</si>
  <si>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</si>
  <si>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</si>
  <si>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</si>
  <si>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</si>
  <si>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</si>
  <si>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</si>
  <si>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</si>
  <si>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</si>
  <si>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</si>
  <si>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</si>
  <si>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</si>
  <si>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</si>
  <si>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</si>
  <si>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</si>
  <si>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</si>
  <si>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</si>
  <si>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</si>
  <si>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</si>
  <si>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</si>
  <si>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</si>
  <si>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</si>
  <si>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</si>
  <si>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</si>
  <si>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</si>
  <si>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</si>
  <si>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</si>
  <si>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</si>
  <si>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</si>
  <si>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</si>
  <si>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</si>
  <si>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</si>
  <si>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</si>
  <si>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</si>
  <si>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</si>
  <si>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</si>
  <si>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</si>
  <si>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</si>
  <si>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</si>
  <si>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</si>
  <si>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</si>
  <si>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</si>
  <si>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</si>
  <si>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</si>
  <si>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</si>
  <si>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</si>
  <si>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</si>
  <si>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</si>
  <si>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</si>
  <si>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</si>
  <si>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</si>
  <si>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</si>
  <si>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</si>
  <si>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</si>
  <si>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</si>
  <si>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</si>
  <si>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</si>
  <si>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</si>
  <si>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</si>
  <si>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</si>
  <si>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</si>
  <si>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</si>
  <si>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</si>
  <si>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</si>
  <si>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</si>
  <si>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</si>
  <si>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</si>
  <si>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</si>
  <si>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</si>
  <si>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</si>
  <si>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</si>
  <si>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</si>
  <si>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</si>
  <si>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</si>
  <si>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</si>
  <si>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</si>
  <si>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</si>
  <si>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</si>
  <si>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</si>
  <si>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</si>
  <si>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</si>
  <si>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</si>
  <si>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</si>
  <si>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</si>
  <si>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</si>
  <si>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</si>
  <si>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</si>
  <si>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</si>
  <si>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</si>
  <si>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</si>
  <si>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</si>
  <si>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</si>
  <si>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</si>
  <si>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</si>
  <si>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</si>
  <si>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</si>
  <si>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</si>
  <si>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</si>
  <si>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</si>
  <si>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</si>
  <si>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</si>
  <si>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</si>
  <si>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</si>
  <si>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</si>
  <si>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</si>
  <si>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</si>
  <si>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</si>
  <si>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</si>
  <si>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</si>
  <si>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</si>
  <si>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</si>
  <si>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</si>
  <si>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</si>
  <si>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</si>
  <si>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</si>
  <si>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</si>
  <si>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</si>
  <si>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</si>
  <si>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</si>
  <si>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</si>
  <si>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</si>
  <si>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</si>
  <si>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</si>
  <si>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</si>
  <si>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</si>
  <si>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</si>
  <si>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</si>
  <si>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</si>
  <si>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</si>
  <si>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</si>
  <si>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</si>
  <si>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</si>
  <si>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</si>
  <si>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</si>
  <si>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</si>
  <si>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</si>
  <si>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</si>
  <si>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</si>
  <si>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</si>
  <si>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</si>
  <si>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</si>
  <si>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</si>
  <si>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</si>
  <si>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</si>
  <si>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</si>
  <si>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</si>
  <si>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</si>
  <si>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</si>
  <si>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</si>
  <si>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</si>
  <si>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</si>
  <si>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</si>
  <si>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</si>
  <si>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</si>
  <si>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</si>
  <si>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</si>
  <si>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</si>
  <si>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</si>
  <si>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</si>
  <si>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</si>
  <si>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</si>
  <si>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</si>
  <si>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</si>
  <si>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</si>
  <si>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</si>
  <si>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</si>
  <si>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</si>
  <si>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</si>
  <si>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</si>
  <si>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</si>
  <si>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</si>
  <si>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</si>
  <si>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</si>
  <si>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</si>
  <si>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</si>
  <si>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</si>
  <si>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</si>
  <si>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</si>
  <si>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</si>
  <si>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</si>
  <si>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</si>
  <si>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</si>
  <si>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</si>
  <si>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</si>
  <si>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</si>
  <si>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</si>
  <si>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</si>
  <si>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</si>
  <si>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</si>
  <si>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</si>
  <si>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</si>
  <si>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</si>
  <si>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</si>
  <si>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</si>
  <si>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</si>
  <si>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</si>
  <si>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</si>
  <si>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</si>
  <si>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</si>
  <si>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</si>
  <si>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</si>
  <si>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</si>
  <si>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</si>
  <si>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</si>
  <si>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</si>
  <si>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</si>
  <si>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</si>
  <si>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</si>
  <si>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</si>
  <si>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</si>
  <si>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</si>
  <si>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</si>
  <si>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</si>
  <si>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</si>
  <si>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</si>
  <si>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</si>
  <si>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</si>
  <si>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</si>
  <si>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</si>
  <si>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</si>
  <si>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</si>
  <si>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</si>
  <si>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</si>
  <si>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</si>
  <si>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</si>
  <si>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</si>
  <si>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</si>
  <si>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</si>
  <si>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</si>
  <si>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</si>
  <si>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</si>
  <si>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</si>
  <si>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</si>
  <si>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</si>
  <si>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</si>
  <si>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</si>
  <si>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</si>
  <si>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</si>
  <si>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</si>
  <si>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</si>
  <si>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</si>
  <si>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</si>
  <si>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</si>
  <si>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</si>
  <si>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</si>
  <si>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</si>
  <si>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</si>
  <si>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</si>
  <si>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</si>
  <si>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</si>
  <si>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</si>
  <si>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</si>
  <si>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</si>
  <si>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</si>
  <si>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</si>
  <si>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</si>
  <si>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</si>
  <si>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</si>
  <si>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</si>
  <si>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</si>
  <si>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</si>
  <si>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</si>
  <si>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</si>
  <si>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</si>
  <si>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</si>
  <si>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</si>
  <si>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</si>
  <si>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</si>
  <si>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</si>
  <si>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</si>
  <si>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</si>
  <si>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</si>
  <si>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</si>
  <si>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</si>
  <si>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</si>
  <si>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</si>
  <si>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</si>
  <si>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</si>
  <si>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</si>
  <si>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</si>
  <si>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</si>
  <si>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</si>
  <si>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</si>
  <si>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</si>
  <si>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</si>
  <si>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</si>
  <si>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</si>
  <si>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</si>
  <si>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</si>
  <si>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</si>
  <si>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</si>
  <si>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</si>
  <si>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</si>
  <si>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</si>
  <si>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</si>
  <si>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</si>
  <si>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</si>
  <si>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</si>
  <si>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</si>
  <si>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</si>
  <si>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</si>
  <si>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</si>
  <si>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</si>
  <si>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</si>
  <si>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</si>
  <si>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</si>
  <si>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</si>
  <si>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</si>
  <si>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</si>
  <si>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</si>
  <si>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</si>
  <si>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</si>
  <si>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</si>
  <si>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</si>
  <si>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</si>
  <si>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</si>
  <si>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</si>
  <si>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</si>
  <si>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</si>
  <si>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</si>
  <si>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</si>
  <si>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</si>
  <si>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</si>
  <si>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</si>
  <si>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</si>
  <si>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</si>
  <si>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</si>
  <si>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</si>
  <si>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</si>
  <si>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</si>
  <si>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</si>
  <si>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</si>
  <si>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</si>
  <si>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</si>
  <si>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</si>
  <si>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</si>
  <si>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</si>
  <si>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</si>
  <si>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</si>
  <si>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</si>
  <si>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</si>
  <si>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</si>
  <si>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</si>
  <si>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</si>
  <si>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</si>
  <si>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</si>
  <si>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</si>
  <si>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</si>
  <si>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</si>
  <si>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</si>
  <si>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</si>
  <si>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</si>
  <si>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</si>
  <si>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</si>
  <si>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</si>
  <si>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</si>
  <si>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</si>
  <si>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</si>
  <si>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</si>
  <si>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</si>
  <si>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</si>
  <si>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</si>
  <si>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</si>
  <si>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</si>
  <si>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</si>
  <si>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</si>
  <si>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</si>
  <si>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</si>
  <si>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</si>
  <si>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</si>
  <si>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</si>
  <si>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</si>
  <si>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</si>
  <si>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</si>
  <si>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</si>
  <si>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</si>
  <si>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Plans of Puerto Rico, Inc.</t>
  </si>
  <si>
    <t>HUMANA GRP</t>
  </si>
  <si>
    <t>Humana</t>
  </si>
  <si>
    <t>119</t>
  </si>
  <si>
    <t>2014</t>
  </si>
  <si>
    <t>383 FD Roosevelt Ave San Juan, PR 00918-2131</t>
  </si>
  <si>
    <t>660406896</t>
  </si>
  <si>
    <t>095721</t>
  </si>
  <si>
    <t>95721</t>
  </si>
  <si>
    <t>492</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</si>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</sst>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181</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52"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502965</v>
      </c>
      <c r="E5" s="106">
        <f>SUM('Pt 2 Premium and Claims'!E$5,'Pt 2 Premium and Claims'!E$6,-'Pt 2 Premium and Claims'!E$7,-'Pt 2 Premium and Claims'!E$13,'Pt 2 Premium and Claims'!E$14:'Pt 2 Premium and Claims'!E$17)</f>
        <v>502151.84</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441336</v>
      </c>
      <c r="K5" s="106">
        <f>SUM('Pt 2 Premium and Claims'!K$5,'Pt 2 Premium and Claims'!K$6,-'Pt 2 Premium and Claims'!K$7,-'Pt 2 Premium and Claims'!K$13,'Pt 2 Premium and Claims'!K$14,'Pt 2 Premium and Claims'!K$16:'Pt 2 Premium and Claims'!K$17)</f>
        <v>682537.83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25262135</v>
      </c>
      <c r="Q5" s="106">
        <f>SUM('Pt 2 Premium and Claims'!Q$5,'Pt 2 Premium and Claims'!Q$6,-'Pt 2 Premium and Claims'!Q$7,-'Pt 2 Premium and Claims'!Q$13,'Pt 2 Premium and Claims'!Q$14)</f>
        <v>25021225.889999997</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365949538</v>
      </c>
      <c r="AT5" s="107">
        <f>SUM('Pt 2 Premium and Claims'!AT$5,'Pt 2 Premium and Claims'!AT$6,-'Pt 2 Premium and Claims'!AT$7,-'Pt 2 Premium and Claims'!AT$13,'Pt 2 Premium and Claims'!AT$14)</f>
        <v>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-2685</v>
      </c>
      <c r="E8" s="289"/>
      <c r="F8" s="290"/>
      <c r="G8" s="290"/>
      <c r="H8" s="290"/>
      <c r="I8" s="293"/>
      <c r="J8" s="109">
        <v>-18</v>
      </c>
      <c r="K8" s="289"/>
      <c r="L8" s="290"/>
      <c r="M8" s="290"/>
      <c r="N8" s="290"/>
      <c r="O8" s="293"/>
      <c r="P8" s="109">
        <v>-88647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453670</v>
      </c>
      <c r="E12" s="106">
        <f>'Pt 2 Premium and Claims'!E$54</f>
        <v>505206.04600000003</v>
      </c>
      <c r="F12" s="106">
        <f>'Pt 2 Premium and Claims'!F$54</f>
        <v>0</v>
      </c>
      <c r="G12" s="106">
        <f>'Pt 2 Premium and Claims'!G$54</f>
        <v>0</v>
      </c>
      <c r="H12" s="106">
        <f>'Pt 2 Premium and Claims'!H$54</f>
        <v>0</v>
      </c>
      <c r="I12" s="105">
        <f>'Pt 2 Premium and Claims'!I$54</f>
        <v>0</v>
      </c>
      <c r="J12" s="105">
        <f>'Pt 2 Premium and Claims'!J$54</f>
        <v>183547</v>
      </c>
      <c r="K12" s="106">
        <f>'Pt 2 Premium and Claims'!K$54</f>
        <v>348630.98526311415</v>
      </c>
      <c r="L12" s="106">
        <f>'Pt 2 Premium and Claims'!L$54</f>
        <v>0</v>
      </c>
      <c r="M12" s="106">
        <f>'Pt 2 Premium and Claims'!M$54</f>
        <v>0</v>
      </c>
      <c r="N12" s="106">
        <f>'Pt 2 Premium and Claims'!N$54</f>
        <v>0</v>
      </c>
      <c r="O12" s="105">
        <f>'Pt 2 Premium and Claims'!O$54</f>
        <v>0</v>
      </c>
      <c r="P12" s="105">
        <f>'Pt 2 Premium and Claims'!P$54</f>
        <v>20773513</v>
      </c>
      <c r="Q12" s="106">
        <f>'Pt 2 Premium and Claims'!Q$54</f>
        <v>20590263.051736891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346867285</v>
      </c>
      <c r="AT12" s="107">
        <f>'Pt 2 Premium and Claims'!AT$54</f>
        <v>0</v>
      </c>
      <c r="AU12" s="107">
        <f>'Pt 2 Premium and Claims'!AU$54</f>
        <v>0</v>
      </c>
      <c r="AV12" s="312"/>
      <c r="AW12" s="317"/>
    </row>
    <row r="13" spans="1:49" ht="25.5" x14ac:dyDescent="0.2">
      <c r="B13" s="155" t="s">
        <v>230</v>
      </c>
      <c r="C13" s="62" t="s">
        <v>37</v>
      </c>
      <c r="D13" s="109">
        <v>108089</v>
      </c>
      <c r="E13" s="110">
        <v>108101.81</v>
      </c>
      <c r="F13" s="110"/>
      <c r="G13" s="289"/>
      <c r="H13" s="290"/>
      <c r="I13" s="109"/>
      <c r="J13" s="109">
        <v>67643</v>
      </c>
      <c r="K13" s="110">
        <v>97957.624118756998</v>
      </c>
      <c r="L13" s="110"/>
      <c r="M13" s="289"/>
      <c r="N13" s="290"/>
      <c r="O13" s="109"/>
      <c r="P13" s="109">
        <v>7165752</v>
      </c>
      <c r="Q13" s="110">
        <v>7144025.3858812433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76409419</v>
      </c>
      <c r="AT13" s="113"/>
      <c r="AU13" s="113"/>
      <c r="AV13" s="311"/>
      <c r="AW13" s="318"/>
    </row>
    <row r="14" spans="1:49" ht="25.5" x14ac:dyDescent="0.2">
      <c r="B14" s="155" t="s">
        <v>231</v>
      </c>
      <c r="C14" s="62" t="s">
        <v>6</v>
      </c>
      <c r="D14" s="109">
        <v>11726</v>
      </c>
      <c r="E14" s="110">
        <v>10632.8</v>
      </c>
      <c r="F14" s="110"/>
      <c r="G14" s="288"/>
      <c r="H14" s="291"/>
      <c r="I14" s="109"/>
      <c r="J14" s="109">
        <v>3626</v>
      </c>
      <c r="K14" s="110">
        <v>4047.54356158071</v>
      </c>
      <c r="L14" s="110"/>
      <c r="M14" s="288"/>
      <c r="N14" s="291"/>
      <c r="O14" s="109"/>
      <c r="P14" s="109">
        <v>403940</v>
      </c>
      <c r="Q14" s="110">
        <v>377015.36643841938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10118546</v>
      </c>
      <c r="AT14" s="113"/>
      <c r="AU14" s="113"/>
      <c r="AV14" s="311"/>
      <c r="AW14" s="318"/>
    </row>
    <row r="15" spans="1:49" ht="38.25" x14ac:dyDescent="0.2">
      <c r="B15" s="155" t="s">
        <v>232</v>
      </c>
      <c r="C15" s="62" t="s">
        <v>7</v>
      </c>
      <c r="D15" s="109">
        <v>14</v>
      </c>
      <c r="E15" s="110">
        <v>14</v>
      </c>
      <c r="F15" s="110"/>
      <c r="G15" s="288"/>
      <c r="H15" s="294"/>
      <c r="I15" s="109"/>
      <c r="J15" s="109">
        <v>10</v>
      </c>
      <c r="K15" s="110">
        <v>10</v>
      </c>
      <c r="L15" s="110"/>
      <c r="M15" s="288"/>
      <c r="N15" s="294"/>
      <c r="O15" s="109"/>
      <c r="P15" s="109">
        <v>585</v>
      </c>
      <c r="Q15" s="110">
        <v>585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8649</v>
      </c>
      <c r="AT15" s="113">
        <v>23</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-734364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-3853000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604146</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613245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743462</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590.03</v>
      </c>
      <c r="F26" s="110"/>
      <c r="G26" s="110"/>
      <c r="H26" s="110"/>
      <c r="I26" s="109"/>
      <c r="J26" s="109"/>
      <c r="K26" s="110">
        <v>351.9</v>
      </c>
      <c r="L26" s="110"/>
      <c r="M26" s="110"/>
      <c r="N26" s="110"/>
      <c r="O26" s="109"/>
      <c r="P26" s="109"/>
      <c r="Q26" s="110">
        <v>19961.63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6242.84</v>
      </c>
      <c r="E27" s="110">
        <v>6242.84</v>
      </c>
      <c r="F27" s="110"/>
      <c r="G27" s="110"/>
      <c r="H27" s="110"/>
      <c r="I27" s="109"/>
      <c r="J27" s="109">
        <v>5156.21</v>
      </c>
      <c r="K27" s="110">
        <v>5156.21</v>
      </c>
      <c r="L27" s="110"/>
      <c r="M27" s="110"/>
      <c r="N27" s="110"/>
      <c r="O27" s="109"/>
      <c r="P27" s="109">
        <v>301357.31</v>
      </c>
      <c r="Q27" s="110">
        <v>301357.31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4537897.26</v>
      </c>
      <c r="AT27" s="113">
        <v>2.5</v>
      </c>
      <c r="AU27" s="113"/>
      <c r="AV27" s="314"/>
      <c r="AW27" s="318"/>
    </row>
    <row r="28" spans="1:49" s="5" customFormat="1" x14ac:dyDescent="0.2">
      <c r="A28" s="35"/>
      <c r="B28" s="158" t="s">
        <v>245</v>
      </c>
      <c r="C28" s="62"/>
      <c r="D28" s="109">
        <v>1217.54</v>
      </c>
      <c r="E28" s="110">
        <v>13558.650000000001</v>
      </c>
      <c r="F28" s="110"/>
      <c r="G28" s="110"/>
      <c r="H28" s="110"/>
      <c r="I28" s="109"/>
      <c r="J28" s="109">
        <v>388.37</v>
      </c>
      <c r="K28" s="110">
        <v>1208.3700000000001</v>
      </c>
      <c r="L28" s="110"/>
      <c r="M28" s="110"/>
      <c r="N28" s="110"/>
      <c r="O28" s="109"/>
      <c r="P28" s="109">
        <v>22157.3</v>
      </c>
      <c r="Q28" s="110">
        <v>76068.229999999981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26230.169999999995</v>
      </c>
      <c r="AT28" s="113">
        <v>-2.5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750.05999999999983</v>
      </c>
      <c r="E30" s="110">
        <v>2127.58</v>
      </c>
      <c r="F30" s="110"/>
      <c r="G30" s="110"/>
      <c r="H30" s="110"/>
      <c r="I30" s="109"/>
      <c r="J30" s="109">
        <v>79.78</v>
      </c>
      <c r="K30" s="110">
        <v>207.55</v>
      </c>
      <c r="L30" s="110"/>
      <c r="M30" s="110"/>
      <c r="N30" s="110"/>
      <c r="O30" s="109"/>
      <c r="P30" s="109">
        <v>4791.0299999999988</v>
      </c>
      <c r="Q30" s="110">
        <v>413.02460000000247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58578.37</v>
      </c>
      <c r="AT30" s="113"/>
      <c r="AU30" s="113"/>
      <c r="AV30" s="113"/>
      <c r="AW30" s="318"/>
    </row>
    <row r="31" spans="1:49" x14ac:dyDescent="0.2">
      <c r="B31" s="158" t="s">
        <v>248</v>
      </c>
      <c r="C31" s="62"/>
      <c r="D31" s="109">
        <v>5033.4399999999996</v>
      </c>
      <c r="E31" s="110">
        <v>5033.4399999999996</v>
      </c>
      <c r="F31" s="110"/>
      <c r="G31" s="110"/>
      <c r="H31" s="110"/>
      <c r="I31" s="109"/>
      <c r="J31" s="109">
        <v>4428.3499999999995</v>
      </c>
      <c r="K31" s="110">
        <v>4428.3499999999995</v>
      </c>
      <c r="L31" s="110"/>
      <c r="M31" s="110"/>
      <c r="N31" s="110"/>
      <c r="O31" s="109"/>
      <c r="P31" s="109">
        <v>250168.74540000001</v>
      </c>
      <c r="Q31" s="110">
        <v>250168.74540000001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3660.9399999999996</v>
      </c>
      <c r="E35" s="110">
        <v>3893.74</v>
      </c>
      <c r="F35" s="110"/>
      <c r="G35" s="110"/>
      <c r="H35" s="110"/>
      <c r="I35" s="109"/>
      <c r="J35" s="109">
        <v>336.82000000000016</v>
      </c>
      <c r="K35" s="110">
        <v>336.81000000000017</v>
      </c>
      <c r="L35" s="110"/>
      <c r="M35" s="110"/>
      <c r="N35" s="110"/>
      <c r="O35" s="109"/>
      <c r="P35" s="109">
        <v>20795.159999999996</v>
      </c>
      <c r="Q35" s="110">
        <v>20795.169999999998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250298.92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14862</v>
      </c>
      <c r="E37" s="118">
        <v>14862.14</v>
      </c>
      <c r="F37" s="118"/>
      <c r="G37" s="118"/>
      <c r="H37" s="118"/>
      <c r="I37" s="117"/>
      <c r="J37" s="117">
        <v>3180</v>
      </c>
      <c r="K37" s="118">
        <v>3180.25</v>
      </c>
      <c r="L37" s="118"/>
      <c r="M37" s="118"/>
      <c r="N37" s="118"/>
      <c r="O37" s="117"/>
      <c r="P37" s="117">
        <v>189720</v>
      </c>
      <c r="Q37" s="118">
        <v>189718.65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2954219</v>
      </c>
      <c r="AT37" s="119"/>
      <c r="AU37" s="119"/>
      <c r="AV37" s="119"/>
      <c r="AW37" s="317"/>
    </row>
    <row r="38" spans="1:49" x14ac:dyDescent="0.2">
      <c r="B38" s="155" t="s">
        <v>255</v>
      </c>
      <c r="C38" s="62" t="s">
        <v>16</v>
      </c>
      <c r="D38" s="109">
        <v>3947</v>
      </c>
      <c r="E38" s="110">
        <v>3946.52</v>
      </c>
      <c r="F38" s="110"/>
      <c r="G38" s="110"/>
      <c r="H38" s="110"/>
      <c r="I38" s="109"/>
      <c r="J38" s="109">
        <v>654</v>
      </c>
      <c r="K38" s="110">
        <v>653.73</v>
      </c>
      <c r="L38" s="110"/>
      <c r="M38" s="110"/>
      <c r="N38" s="110"/>
      <c r="O38" s="109"/>
      <c r="P38" s="109">
        <v>39229</v>
      </c>
      <c r="Q38" s="110">
        <v>39229.040000000001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846101</v>
      </c>
      <c r="AT38" s="113"/>
      <c r="AU38" s="113"/>
      <c r="AV38" s="113"/>
      <c r="AW38" s="318"/>
    </row>
    <row r="39" spans="1:49" x14ac:dyDescent="0.2">
      <c r="B39" s="158" t="s">
        <v>256</v>
      </c>
      <c r="C39" s="62" t="s">
        <v>17</v>
      </c>
      <c r="D39" s="109">
        <v>5997</v>
      </c>
      <c r="E39" s="110">
        <v>5997.37</v>
      </c>
      <c r="F39" s="110"/>
      <c r="G39" s="110"/>
      <c r="H39" s="110"/>
      <c r="I39" s="109"/>
      <c r="J39" s="109">
        <v>1184</v>
      </c>
      <c r="K39" s="110">
        <v>1184.0899999999999</v>
      </c>
      <c r="L39" s="110"/>
      <c r="M39" s="110"/>
      <c r="N39" s="110"/>
      <c r="O39" s="109"/>
      <c r="P39" s="109">
        <v>71032</v>
      </c>
      <c r="Q39" s="110">
        <v>71031.77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1432052</v>
      </c>
      <c r="AT39" s="113"/>
      <c r="AU39" s="113"/>
      <c r="AV39" s="113"/>
      <c r="AW39" s="318"/>
    </row>
    <row r="40" spans="1:49" x14ac:dyDescent="0.2">
      <c r="B40" s="158" t="s">
        <v>257</v>
      </c>
      <c r="C40" s="62" t="s">
        <v>38</v>
      </c>
      <c r="D40" s="109">
        <v>9095</v>
      </c>
      <c r="E40" s="110">
        <v>9095.74</v>
      </c>
      <c r="F40" s="110"/>
      <c r="G40" s="110"/>
      <c r="H40" s="110"/>
      <c r="I40" s="109"/>
      <c r="J40" s="109">
        <v>1575</v>
      </c>
      <c r="K40" s="110">
        <v>1575.3</v>
      </c>
      <c r="L40" s="110"/>
      <c r="M40" s="110"/>
      <c r="N40" s="110"/>
      <c r="O40" s="109"/>
      <c r="P40" s="109">
        <v>93546</v>
      </c>
      <c r="Q40" s="110">
        <v>93566.81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1398358</v>
      </c>
      <c r="AT40" s="113"/>
      <c r="AU40" s="113"/>
      <c r="AV40" s="113"/>
      <c r="AW40" s="318"/>
    </row>
    <row r="41" spans="1:49" s="5" customFormat="1" ht="25.5" x14ac:dyDescent="0.2">
      <c r="A41" s="35"/>
      <c r="B41" s="158" t="s">
        <v>258</v>
      </c>
      <c r="C41" s="62" t="s">
        <v>129</v>
      </c>
      <c r="D41" s="109"/>
      <c r="E41" s="110">
        <v>-0.91999999999999993</v>
      </c>
      <c r="F41" s="110"/>
      <c r="G41" s="110"/>
      <c r="H41" s="110"/>
      <c r="I41" s="109"/>
      <c r="J41" s="109"/>
      <c r="K41" s="110">
        <v>-0.09</v>
      </c>
      <c r="L41" s="110"/>
      <c r="M41" s="110"/>
      <c r="N41" s="110"/>
      <c r="O41" s="109"/>
      <c r="P41" s="109"/>
      <c r="Q41" s="110">
        <v>-22.439999999999994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9046</v>
      </c>
      <c r="E44" s="118">
        <v>9046</v>
      </c>
      <c r="F44" s="118"/>
      <c r="G44" s="118"/>
      <c r="H44" s="118"/>
      <c r="I44" s="117"/>
      <c r="J44" s="117">
        <v>2423</v>
      </c>
      <c r="K44" s="118">
        <v>2423</v>
      </c>
      <c r="L44" s="118"/>
      <c r="M44" s="118"/>
      <c r="N44" s="118"/>
      <c r="O44" s="117"/>
      <c r="P44" s="117">
        <v>144278</v>
      </c>
      <c r="Q44" s="118">
        <v>144278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2270378</v>
      </c>
      <c r="AT44" s="119"/>
      <c r="AU44" s="119"/>
      <c r="AV44" s="119"/>
      <c r="AW44" s="317"/>
    </row>
    <row r="45" spans="1:49" x14ac:dyDescent="0.2">
      <c r="B45" s="161" t="s">
        <v>262</v>
      </c>
      <c r="C45" s="62" t="s">
        <v>19</v>
      </c>
      <c r="D45" s="109">
        <v>4133</v>
      </c>
      <c r="E45" s="110">
        <v>4133</v>
      </c>
      <c r="F45" s="110"/>
      <c r="G45" s="110"/>
      <c r="H45" s="110"/>
      <c r="I45" s="109"/>
      <c r="J45" s="109">
        <v>1649</v>
      </c>
      <c r="K45" s="110">
        <v>1649</v>
      </c>
      <c r="L45" s="110"/>
      <c r="M45" s="110"/>
      <c r="N45" s="110"/>
      <c r="O45" s="109"/>
      <c r="P45" s="109">
        <v>110971</v>
      </c>
      <c r="Q45" s="110">
        <v>110971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1261038</v>
      </c>
      <c r="AT45" s="113"/>
      <c r="AU45" s="113"/>
      <c r="AV45" s="113"/>
      <c r="AW45" s="318"/>
    </row>
    <row r="46" spans="1:49" x14ac:dyDescent="0.2">
      <c r="B46" s="161" t="s">
        <v>263</v>
      </c>
      <c r="C46" s="62" t="s">
        <v>20</v>
      </c>
      <c r="D46" s="109">
        <v>18761</v>
      </c>
      <c r="E46" s="110">
        <v>18761</v>
      </c>
      <c r="F46" s="110"/>
      <c r="G46" s="110"/>
      <c r="H46" s="110"/>
      <c r="I46" s="109"/>
      <c r="J46" s="109">
        <v>4157</v>
      </c>
      <c r="K46" s="110">
        <v>4157</v>
      </c>
      <c r="L46" s="110"/>
      <c r="M46" s="110"/>
      <c r="N46" s="110"/>
      <c r="O46" s="109"/>
      <c r="P46" s="109">
        <v>249310</v>
      </c>
      <c r="Q46" s="110">
        <v>249310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7667695</v>
      </c>
      <c r="AT46" s="113"/>
      <c r="AU46" s="113"/>
      <c r="AV46" s="113"/>
      <c r="AW46" s="318"/>
    </row>
    <row r="47" spans="1:49" x14ac:dyDescent="0.2">
      <c r="B47" s="161" t="s">
        <v>264</v>
      </c>
      <c r="C47" s="62" t="s">
        <v>21</v>
      </c>
      <c r="D47" s="109">
        <v>5415</v>
      </c>
      <c r="E47" s="110">
        <v>5415</v>
      </c>
      <c r="F47" s="110"/>
      <c r="G47" s="110"/>
      <c r="H47" s="110"/>
      <c r="I47" s="109"/>
      <c r="J47" s="109">
        <v>697</v>
      </c>
      <c r="K47" s="110">
        <v>697</v>
      </c>
      <c r="L47" s="110"/>
      <c r="M47" s="110"/>
      <c r="N47" s="110"/>
      <c r="O47" s="109"/>
      <c r="P47" s="109">
        <v>42464</v>
      </c>
      <c r="Q47" s="110">
        <v>42464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2596835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15209.560000000001</v>
      </c>
      <c r="E49" s="110">
        <v>668.09999999999991</v>
      </c>
      <c r="F49" s="110"/>
      <c r="G49" s="110"/>
      <c r="H49" s="110"/>
      <c r="I49" s="109"/>
      <c r="J49" s="109">
        <v>1362</v>
      </c>
      <c r="K49" s="110">
        <v>62.339999999999996</v>
      </c>
      <c r="L49" s="110"/>
      <c r="M49" s="110"/>
      <c r="N49" s="110"/>
      <c r="O49" s="109"/>
      <c r="P49" s="109">
        <v>73260.504599999986</v>
      </c>
      <c r="Q49" s="110">
        <v>3765.9399999999996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1037758.91</v>
      </c>
      <c r="AT49" s="113">
        <v>-4.07</v>
      </c>
      <c r="AU49" s="113"/>
      <c r="AV49" s="113"/>
      <c r="AW49" s="318"/>
    </row>
    <row r="50" spans="2:49" ht="25.5" x14ac:dyDescent="0.2">
      <c r="B50" s="155" t="s">
        <v>266</v>
      </c>
      <c r="C50" s="62"/>
      <c r="D50" s="109">
        <v>180.12999999999997</v>
      </c>
      <c r="E50" s="110">
        <v>180.12999999999997</v>
      </c>
      <c r="F50" s="110"/>
      <c r="G50" s="110"/>
      <c r="H50" s="110"/>
      <c r="I50" s="109"/>
      <c r="J50" s="109">
        <v>18.430000000000003</v>
      </c>
      <c r="K50" s="110">
        <v>18.430000000000003</v>
      </c>
      <c r="L50" s="110"/>
      <c r="M50" s="110"/>
      <c r="N50" s="110"/>
      <c r="O50" s="109"/>
      <c r="P50" s="109">
        <v>1113.6300000000001</v>
      </c>
      <c r="Q50" s="110">
        <v>1113.6300000000001</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13919.589999999993</v>
      </c>
      <c r="AT50" s="113">
        <v>1.0900000000000001</v>
      </c>
      <c r="AU50" s="113"/>
      <c r="AV50" s="113"/>
      <c r="AW50" s="318"/>
    </row>
    <row r="51" spans="2:49" x14ac:dyDescent="0.2">
      <c r="B51" s="155" t="s">
        <v>267</v>
      </c>
      <c r="C51" s="62"/>
      <c r="D51" s="109">
        <v>422614</v>
      </c>
      <c r="E51" s="110">
        <v>422614</v>
      </c>
      <c r="F51" s="110"/>
      <c r="G51" s="110"/>
      <c r="H51" s="110"/>
      <c r="I51" s="109"/>
      <c r="J51" s="109">
        <v>35975</v>
      </c>
      <c r="K51" s="110">
        <v>35975</v>
      </c>
      <c r="L51" s="110"/>
      <c r="M51" s="110"/>
      <c r="N51" s="110"/>
      <c r="O51" s="109"/>
      <c r="P51" s="109">
        <v>2274740</v>
      </c>
      <c r="Q51" s="110">
        <v>2274740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18918311</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280</v>
      </c>
      <c r="E56" s="122">
        <v>281</v>
      </c>
      <c r="F56" s="122"/>
      <c r="G56" s="122"/>
      <c r="H56" s="122"/>
      <c r="I56" s="121"/>
      <c r="J56" s="121">
        <v>105</v>
      </c>
      <c r="K56" s="122">
        <v>106</v>
      </c>
      <c r="L56" s="122"/>
      <c r="M56" s="122"/>
      <c r="N56" s="122"/>
      <c r="O56" s="121"/>
      <c r="P56" s="121">
        <v>3788</v>
      </c>
      <c r="Q56" s="122">
        <v>3823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50244</v>
      </c>
      <c r="AT56" s="123"/>
      <c r="AU56" s="123"/>
      <c r="AV56" s="123"/>
      <c r="AW56" s="309"/>
    </row>
    <row r="57" spans="2:49" x14ac:dyDescent="0.2">
      <c r="B57" s="161" t="s">
        <v>273</v>
      </c>
      <c r="C57" s="62" t="s">
        <v>25</v>
      </c>
      <c r="D57" s="124">
        <v>297</v>
      </c>
      <c r="E57" s="125">
        <v>298</v>
      </c>
      <c r="F57" s="125"/>
      <c r="G57" s="125"/>
      <c r="H57" s="125"/>
      <c r="I57" s="124"/>
      <c r="J57" s="124">
        <v>152</v>
      </c>
      <c r="K57" s="125">
        <v>261</v>
      </c>
      <c r="L57" s="125"/>
      <c r="M57" s="125"/>
      <c r="N57" s="125"/>
      <c r="O57" s="124"/>
      <c r="P57" s="124">
        <v>9642</v>
      </c>
      <c r="Q57" s="125">
        <v>9557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50244</v>
      </c>
      <c r="AT57" s="126"/>
      <c r="AU57" s="126"/>
      <c r="AV57" s="126"/>
      <c r="AW57" s="310"/>
    </row>
    <row r="58" spans="2:49" x14ac:dyDescent="0.2">
      <c r="B58" s="161" t="s">
        <v>274</v>
      </c>
      <c r="C58" s="62" t="s">
        <v>26</v>
      </c>
      <c r="D58" s="330"/>
      <c r="E58" s="331"/>
      <c r="F58" s="331"/>
      <c r="G58" s="331"/>
      <c r="H58" s="331"/>
      <c r="I58" s="330"/>
      <c r="J58" s="124">
        <v>6</v>
      </c>
      <c r="K58" s="125">
        <v>6</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v>3268</v>
      </c>
      <c r="E59" s="125">
        <v>3268</v>
      </c>
      <c r="F59" s="125"/>
      <c r="G59" s="125"/>
      <c r="H59" s="125"/>
      <c r="I59" s="124"/>
      <c r="J59" s="124">
        <v>1936</v>
      </c>
      <c r="K59" s="125">
        <v>3118</v>
      </c>
      <c r="L59" s="125"/>
      <c r="M59" s="125"/>
      <c r="N59" s="125"/>
      <c r="O59" s="124"/>
      <c r="P59" s="124">
        <v>113468</v>
      </c>
      <c r="Q59" s="125">
        <v>113692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564112</v>
      </c>
      <c r="AT59" s="126"/>
      <c r="AU59" s="126"/>
      <c r="AV59" s="126"/>
      <c r="AW59" s="310"/>
    </row>
    <row r="60" spans="2:49" x14ac:dyDescent="0.2">
      <c r="B60" s="161" t="s">
        <v>276</v>
      </c>
      <c r="C60" s="62"/>
      <c r="D60" s="127">
        <f t="shared" ref="D60:AC60" si="0">D$59/12</f>
        <v>272.33333333333331</v>
      </c>
      <c r="E60" s="128">
        <f t="shared" si="0"/>
        <v>272.33333333333331</v>
      </c>
      <c r="F60" s="128">
        <f t="shared" si="0"/>
        <v>0</v>
      </c>
      <c r="G60" s="128">
        <f t="shared" si="0"/>
        <v>0</v>
      </c>
      <c r="H60" s="128">
        <f t="shared" si="0"/>
        <v>0</v>
      </c>
      <c r="I60" s="127">
        <f t="shared" si="0"/>
        <v>0</v>
      </c>
      <c r="J60" s="127">
        <f t="shared" si="0"/>
        <v>161.33333333333334</v>
      </c>
      <c r="K60" s="128">
        <f t="shared" si="0"/>
        <v>259.83333333333331</v>
      </c>
      <c r="L60" s="128">
        <f t="shared" si="0"/>
        <v>0</v>
      </c>
      <c r="M60" s="128">
        <f t="shared" si="0"/>
        <v>0</v>
      </c>
      <c r="N60" s="128">
        <f t="shared" si="0"/>
        <v>0</v>
      </c>
      <c r="O60" s="127">
        <f t="shared" si="0"/>
        <v>0</v>
      </c>
      <c r="P60" s="127">
        <f t="shared" si="0"/>
        <v>9455.6666666666661</v>
      </c>
      <c r="Q60" s="128">
        <f t="shared" si="0"/>
        <v>9474.3333333333339</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47009.333333333336</v>
      </c>
      <c r="AT60" s="129">
        <f t="shared" si="1"/>
        <v>0</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3875347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502965</v>
      </c>
      <c r="E5" s="118">
        <v>502151.84</v>
      </c>
      <c r="F5" s="118"/>
      <c r="G5" s="130"/>
      <c r="H5" s="130"/>
      <c r="I5" s="117"/>
      <c r="J5" s="117">
        <v>441336</v>
      </c>
      <c r="K5" s="118">
        <v>682537.83</v>
      </c>
      <c r="L5" s="118"/>
      <c r="M5" s="118"/>
      <c r="N5" s="118"/>
      <c r="O5" s="117"/>
      <c r="P5" s="117">
        <v>25262135</v>
      </c>
      <c r="Q5" s="118">
        <v>25021225.889999997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365949538</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116320.72999999847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0.29999999999995453</v>
      </c>
      <c r="E11" s="110"/>
      <c r="F11" s="110"/>
      <c r="G11" s="110"/>
      <c r="H11" s="110"/>
      <c r="I11" s="109"/>
      <c r="J11" s="109"/>
      <c r="K11" s="110"/>
      <c r="L11" s="110"/>
      <c r="M11" s="110"/>
      <c r="N11" s="110"/>
      <c r="O11" s="109"/>
      <c r="P11" s="109">
        <v>704836.64000000013</v>
      </c>
      <c r="Q11" s="110">
        <v>482980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-52971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654756.39999999851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1522039</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686320</v>
      </c>
      <c r="E23" s="288"/>
      <c r="F23" s="288"/>
      <c r="G23" s="288"/>
      <c r="H23" s="288"/>
      <c r="I23" s="292"/>
      <c r="J23" s="109">
        <v>355866</v>
      </c>
      <c r="K23" s="288"/>
      <c r="L23" s="288"/>
      <c r="M23" s="288"/>
      <c r="N23" s="288"/>
      <c r="O23" s="292"/>
      <c r="P23" s="109">
        <v>20045130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351742514</v>
      </c>
      <c r="AT23" s="113"/>
      <c r="AU23" s="113"/>
      <c r="AV23" s="311"/>
      <c r="AW23" s="318"/>
    </row>
    <row r="24" spans="2:49" ht="28.5" customHeight="1" x14ac:dyDescent="0.2">
      <c r="B24" s="178" t="s">
        <v>114</v>
      </c>
      <c r="C24" s="133"/>
      <c r="D24" s="293"/>
      <c r="E24" s="110">
        <v>511196.1</v>
      </c>
      <c r="F24" s="110"/>
      <c r="G24" s="110"/>
      <c r="H24" s="110"/>
      <c r="I24" s="109"/>
      <c r="J24" s="293"/>
      <c r="K24" s="110">
        <v>349712.87</v>
      </c>
      <c r="L24" s="110"/>
      <c r="M24" s="110"/>
      <c r="N24" s="110"/>
      <c r="O24" s="109"/>
      <c r="P24" s="293"/>
      <c r="Q24" s="110">
        <v>20293625.550000001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58160</v>
      </c>
      <c r="E26" s="288"/>
      <c r="F26" s="288"/>
      <c r="G26" s="288"/>
      <c r="H26" s="288"/>
      <c r="I26" s="292"/>
      <c r="J26" s="109">
        <v>115754</v>
      </c>
      <c r="K26" s="288"/>
      <c r="L26" s="288"/>
      <c r="M26" s="288"/>
      <c r="N26" s="288"/>
      <c r="O26" s="292"/>
      <c r="P26" s="109">
        <v>1957047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57468593</v>
      </c>
      <c r="AT26" s="113"/>
      <c r="AU26" s="113"/>
      <c r="AV26" s="311"/>
      <c r="AW26" s="318"/>
    </row>
    <row r="27" spans="2:49" s="5" customFormat="1" ht="25.5" x14ac:dyDescent="0.2">
      <c r="B27" s="178" t="s">
        <v>85</v>
      </c>
      <c r="C27" s="133"/>
      <c r="D27" s="293"/>
      <c r="E27" s="110">
        <v>4403.916000000002</v>
      </c>
      <c r="F27" s="110"/>
      <c r="G27" s="110"/>
      <c r="H27" s="110"/>
      <c r="I27" s="109"/>
      <c r="J27" s="293"/>
      <c r="K27" s="110">
        <v>2964.8388246948789</v>
      </c>
      <c r="L27" s="110"/>
      <c r="M27" s="110"/>
      <c r="N27" s="110"/>
      <c r="O27" s="109"/>
      <c r="P27" s="293"/>
      <c r="Q27" s="110">
        <v>185050.58817530706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78463.000000000015</v>
      </c>
      <c r="E28" s="289"/>
      <c r="F28" s="289"/>
      <c r="G28" s="289"/>
      <c r="H28" s="289"/>
      <c r="I28" s="293"/>
      <c r="J28" s="109">
        <v>104429</v>
      </c>
      <c r="K28" s="289"/>
      <c r="L28" s="289"/>
      <c r="M28" s="289"/>
      <c r="N28" s="289"/>
      <c r="O28" s="293"/>
      <c r="P28" s="109">
        <v>2170215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60771983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1000</v>
      </c>
      <c r="E30" s="288"/>
      <c r="F30" s="288"/>
      <c r="G30" s="288"/>
      <c r="H30" s="288"/>
      <c r="I30" s="292"/>
      <c r="J30" s="109"/>
      <c r="K30" s="288"/>
      <c r="L30" s="288"/>
      <c r="M30" s="288"/>
      <c r="N30" s="288"/>
      <c r="O30" s="292"/>
      <c r="P30" s="109">
        <v>17000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1666321</v>
      </c>
      <c r="AT30" s="113"/>
      <c r="AU30" s="113"/>
      <c r="AV30" s="311"/>
      <c r="AW30" s="318"/>
    </row>
    <row r="31" spans="2:49" s="5" customFormat="1" ht="25.5" x14ac:dyDescent="0.2">
      <c r="B31" s="178" t="s">
        <v>84</v>
      </c>
      <c r="C31" s="133"/>
      <c r="D31" s="293"/>
      <c r="E31" s="110">
        <v>238.83000000000004</v>
      </c>
      <c r="F31" s="110"/>
      <c r="G31" s="110"/>
      <c r="H31" s="110"/>
      <c r="I31" s="109"/>
      <c r="J31" s="293"/>
      <c r="K31" s="110">
        <v>0.82</v>
      </c>
      <c r="L31" s="110"/>
      <c r="M31" s="110"/>
      <c r="N31" s="110"/>
      <c r="O31" s="109"/>
      <c r="P31" s="293"/>
      <c r="Q31" s="110">
        <v>5622.2800000000007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219094</v>
      </c>
      <c r="E32" s="289"/>
      <c r="F32" s="289"/>
      <c r="G32" s="289"/>
      <c r="H32" s="289"/>
      <c r="I32" s="293"/>
      <c r="J32" s="109">
        <v>192318</v>
      </c>
      <c r="K32" s="289"/>
      <c r="L32" s="289"/>
      <c r="M32" s="289"/>
      <c r="N32" s="289"/>
      <c r="O32" s="293"/>
      <c r="P32" s="109">
        <v>25725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1241321</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720467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1274940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1448299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-52971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482980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1268001</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1522039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34295</v>
      </c>
      <c r="E49" s="110">
        <v>10632.8</v>
      </c>
      <c r="F49" s="110"/>
      <c r="G49" s="110"/>
      <c r="H49" s="110"/>
      <c r="I49" s="109"/>
      <c r="J49" s="109">
        <v>7912</v>
      </c>
      <c r="K49" s="110">
        <v>4047.54356158071</v>
      </c>
      <c r="L49" s="110"/>
      <c r="M49" s="110"/>
      <c r="N49" s="110"/>
      <c r="O49" s="109"/>
      <c r="P49" s="109">
        <v>8907</v>
      </c>
      <c r="Q49" s="110">
        <v>377015.36643841933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2656845</v>
      </c>
      <c r="AT49" s="113"/>
      <c r="AU49" s="113"/>
      <c r="AV49" s="311"/>
      <c r="AW49" s="318"/>
    </row>
    <row r="50" spans="2:49" x14ac:dyDescent="0.2">
      <c r="B50" s="176" t="s">
        <v>119</v>
      </c>
      <c r="C50" s="133" t="s">
        <v>34</v>
      </c>
      <c r="D50" s="109">
        <v>40042</v>
      </c>
      <c r="E50" s="289"/>
      <c r="F50" s="289"/>
      <c r="G50" s="289"/>
      <c r="H50" s="289"/>
      <c r="I50" s="293"/>
      <c r="J50" s="109">
        <v>16586.000000000004</v>
      </c>
      <c r="K50" s="289"/>
      <c r="L50" s="289"/>
      <c r="M50" s="289"/>
      <c r="N50" s="289"/>
      <c r="O50" s="293"/>
      <c r="P50" s="109">
        <v>58418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960076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453670</v>
      </c>
      <c r="E54" s="115">
        <f>E24+E27+E31+E35-E36+E39+E42+E45+E46-E49+E51+E52+E53</f>
        <v>505206.04600000003</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183547</v>
      </c>
      <c r="K54" s="115">
        <f>K24+K27+K31+K35-K36+K39+K42+K45+K46-K49+K51+K52+K53</f>
        <v>348630.98526311415</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20773513</v>
      </c>
      <c r="Q54" s="115">
        <f>Q24+Q27+Q31+Q35-Q36+Q39+Q42+Q45+Q46-Q49+Q51+Q52+Q53</f>
        <v>20590263.051736891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346867285</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2197</v>
      </c>
      <c r="E56" s="110">
        <v>2197</v>
      </c>
      <c r="F56" s="110"/>
      <c r="G56" s="110"/>
      <c r="H56" s="110"/>
      <c r="I56" s="109"/>
      <c r="J56" s="109">
        <v>589</v>
      </c>
      <c r="K56" s="110">
        <v>589</v>
      </c>
      <c r="L56" s="110"/>
      <c r="M56" s="110"/>
      <c r="N56" s="110"/>
      <c r="O56" s="109"/>
      <c r="P56" s="109">
        <v>34307</v>
      </c>
      <c r="Q56" s="110">
        <v>34307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628475</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F34"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983429.72000000009</v>
      </c>
      <c r="D5" s="118">
        <v>355398.84849999991</v>
      </c>
      <c r="E5" s="346"/>
      <c r="F5" s="346"/>
      <c r="G5" s="312"/>
      <c r="H5" s="117">
        <v>485078.53</v>
      </c>
      <c r="I5" s="118">
        <v>330464.25481512805</v>
      </c>
      <c r="J5" s="346"/>
      <c r="K5" s="346"/>
      <c r="L5" s="312"/>
      <c r="M5" s="117">
        <v>23338400.610000003</v>
      </c>
      <c r="N5" s="118">
        <v>18520747.488184873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969826.68000000017</v>
      </c>
      <c r="D6" s="110">
        <v>359289.45549999987</v>
      </c>
      <c r="E6" s="115">
        <f>SUM('Pt 1 Summary of Data'!E$12,'Pt 1 Summary of Data'!E$22)+SUM('Pt 1 Summary of Data'!G$12,'Pt 1 Summary of Data'!G$22)-SUM('Pt 1 Summary of Data'!H$12,'Pt 1 Summary of Data'!H$22)</f>
        <v>505206.04600000003</v>
      </c>
      <c r="F6" s="115">
        <f t="shared" ref="F6:F11" si="0">SUM(C6:E6)</f>
        <v>1834322.1815000002</v>
      </c>
      <c r="G6" s="116">
        <f>SUM('Pt 1 Summary of Data'!I$12,'Pt 1 Summary of Data'!I$22)</f>
        <v>0</v>
      </c>
      <c r="H6" s="109">
        <v>487318.86000000004</v>
      </c>
      <c r="I6" s="110">
        <v>328919.67050294764</v>
      </c>
      <c r="J6" s="115">
        <f>SUM('Pt 1 Summary of Data'!K$12,'Pt 1 Summary of Data'!K$22)+SUM('Pt 1 Summary of Data'!M$12,'Pt 1 Summary of Data'!M$22)-SUM('Pt 1 Summary of Data'!N$12,'Pt 1 Summary of Data'!N$22)</f>
        <v>348630.98526311415</v>
      </c>
      <c r="K6" s="115">
        <f>SUM(H6:J6)</f>
        <v>1164869.5157660618</v>
      </c>
      <c r="L6" s="116">
        <f>SUM('Pt 1 Summary of Data'!O$12,'Pt 1 Summary of Data'!O$22)</f>
        <v>0</v>
      </c>
      <c r="M6" s="109">
        <v>23336484.180000003</v>
      </c>
      <c r="N6" s="110">
        <v>18552487.732497055</v>
      </c>
      <c r="O6" s="115">
        <f>SUM('Pt 1 Summary of Data'!Q$12,'Pt 1 Summary of Data'!Q$22)+SUM('Pt 1 Summary of Data'!S$12,'Pt 1 Summary of Data'!S$22)-SUM('Pt 1 Summary of Data'!T$12,'Pt 1 Summary of Data'!T$22)</f>
        <v>20590263.051736891</v>
      </c>
      <c r="P6" s="115">
        <f>SUM(M6:O6)</f>
        <v>62479234.96423395</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696.81</v>
      </c>
      <c r="D7" s="110">
        <v>4051.76</v>
      </c>
      <c r="E7" s="115">
        <f>SUM('Pt 1 Summary of Data'!E$37:E$41)+SUM('Pt 1 Summary of Data'!G$37:G$41)-SUM('Pt 1 Summary of Data'!H$37:H$41)+MAX(0,MIN('Pt 1 Summary of Data'!E$42+'Pt 1 Summary of Data'!G$42-'Pt 1 Summary of Data'!H$42,0.3%*('Pt 1 Summary of Data'!E$5+'Pt 1 Summary of Data'!G$5-'Pt 1 Summary of Data'!H$5-SUM(E$9:E$11))))</f>
        <v>33900.85</v>
      </c>
      <c r="F7" s="115">
        <f t="shared" si="0"/>
        <v>38649.42</v>
      </c>
      <c r="G7" s="116">
        <f>SUM('Pt 1 Summary of Data'!I$37:I$41)+MAX(0,MIN('Pt 1 Summary of Data'!I$42,0.3%*('Pt 1 Summary of Data'!I$5-SUM(G$9:G$10))))</f>
        <v>0</v>
      </c>
      <c r="H7" s="109">
        <v>33998.89</v>
      </c>
      <c r="I7" s="110">
        <v>18916.61</v>
      </c>
      <c r="J7" s="115">
        <f>SUM('Pt 1 Summary of Data'!K$37:K$41)+SUM('Pt 1 Summary of Data'!M$37:M$41)-SUM('Pt 1 Summary of Data'!N$37:N$41)+MAX(0,MIN('Pt 1 Summary of Data'!K$42+'Pt 1 Summary of Data'!M$42-'Pt 1 Summary of Data'!N$42,0.3%*('Pt 1 Summary of Data'!K$5+'Pt 1 Summary of Data'!M$5-'Pt 1 Summary of Data'!N$5-SUM(J$10:J$11))))</f>
        <v>6593.28</v>
      </c>
      <c r="K7" s="115">
        <f>SUM(H7:J7)</f>
        <v>59508.78</v>
      </c>
      <c r="L7" s="116">
        <f>SUM('Pt 1 Summary of Data'!O$37:O$41)+MAX(0,MIN('Pt 1 Summary of Data'!O$42,0.3%*('Pt 1 Summary of Data'!O$5-L$10)))</f>
        <v>0</v>
      </c>
      <c r="M7" s="109">
        <v>333366.98999999993</v>
      </c>
      <c r="N7" s="110">
        <v>401424.19</v>
      </c>
      <c r="O7" s="115">
        <f>SUM('Pt 1 Summary of Data'!Q$37:Q$41)+SUM('Pt 1 Summary of Data'!S$37:S$41)-SUM('Pt 1 Summary of Data'!T$37:T$41)+MAX(0,MIN('Pt 1 Summary of Data'!Q$42+'Pt 1 Summary of Data'!S$42-'Pt 1 Summary of Data'!T$42,0.3%*('Pt 1 Summary of Data'!Q$5+'Pt 1 Summary of Data'!S$5-'Pt 1 Summary of Data'!T$5)))</f>
        <v>393523.83</v>
      </c>
      <c r="P7" s="115">
        <f>SUM(M7:O7)</f>
        <v>1128315.01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970523.49000000022</v>
      </c>
      <c r="D12" s="115">
        <f>SUM(D$6:D$7)+IF(AND(OR('Company Information'!$C$12="District of Columbia",'Company Information'!$C$12="Massachusetts",'Company Information'!$C$12="Vermont"),SUM($C$6:$F$11,$C$15:$F$16,$C$37:$D$37)&lt;&gt;0),SUM(I$6:I$7),0)</f>
        <v>363341.21549999987</v>
      </c>
      <c r="E12" s="115">
        <f>SUM(E$6:E$7)-SUM(E$8:E$11)+IF(AND(OR('Company Information'!$C$12="District of Columbia",'Company Information'!$C$12="Massachusetts",'Company Information'!$C$12="Vermont"),SUM($C$6:$F$11,$C$15:$F$16,$C$37:$D$37)&lt;&gt;0),SUM(J$6:J$7)-SUM(J$10:J$11),0)</f>
        <v>539106.89600000007</v>
      </c>
      <c r="F12" s="115">
        <f>IFERROR(SUM(C$12:E$12)+C$17*MAX(0,E$49-C$49)+D$17*MAX(0,E$49-D$49),0)</f>
        <v>1872971.6015000003</v>
      </c>
      <c r="G12" s="311"/>
      <c r="H12" s="114">
        <f>SUM(H$6:H$7)+IF(AND(OR('Company Information'!$C$12="District of Columbia",'Company Information'!$C$12="Massachusetts",'Company Information'!$C$12="Vermont"),SUM($H$6:$K$11,$H$15:$K$16,$H$37:$I$37)&lt;&gt;0),SUM(C$6:C$7),0)</f>
        <v>521317.75000000006</v>
      </c>
      <c r="I12" s="115">
        <f>SUM(I$6:I$7)+IF(AND(OR('Company Information'!$C$12="District of Columbia",'Company Information'!$C$12="Massachusetts",'Company Information'!$C$12="Vermont"),SUM($H$6:$K$11,$H$15:$K$16,$H$37:$I$37)&lt;&gt;0),SUM(D$6:D$7),0)</f>
        <v>347836.28050294763</v>
      </c>
      <c r="J12" s="115">
        <f>SUM(J$6:J$7)-SUM(J$10:J$11)+IF(AND(OR('Company Information'!$C$12="District of Columbia",'Company Information'!$C$12="Massachusetts",'Company Information'!$C$12="Vermont"),SUM($H$6:$K$11,$H$15:$K$16,$H$37:$I$37)&lt;&gt;0),SUM(E$6:E$7)-SUM(E$8:E$11),0)</f>
        <v>355224.26526311418</v>
      </c>
      <c r="K12" s="115">
        <f>IFERROR(SUM(H$12:J$12)+H$17*MAX(0,J$49-H$49)+I$17*MAX(0,J$49-I$49),0)</f>
        <v>1224378.2957660619</v>
      </c>
      <c r="L12" s="311"/>
      <c r="M12" s="114">
        <f>SUM(M$6:M$7)</f>
        <v>23669851.170000002</v>
      </c>
      <c r="N12" s="115">
        <f>SUM(N$6:N$7)</f>
        <v>18953911.922497056</v>
      </c>
      <c r="O12" s="115">
        <f>SUM(O$6:O$7)</f>
        <v>20983786.881736889</v>
      </c>
      <c r="P12" s="115">
        <f>SUM(M$12:O$12)+M$17*MAX(0,O$49-M$49)+N$17*MAX(0,O$49-N$49)</f>
        <v>63607549.974233948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702587.44</v>
      </c>
      <c r="D15" s="118">
        <v>612241.39</v>
      </c>
      <c r="E15" s="106">
        <f>SUM('Pt 1 Summary of Data'!E$5:E$7)+SUM('Pt 1 Summary of Data'!G$5:G$7)-SUM('Pt 1 Summary of Data'!H$5:H$7)-SUM(E$9:E$11)+D$55</f>
        <v>502151.84</v>
      </c>
      <c r="F15" s="106">
        <f>SUM(C15:E15)</f>
        <v>1816980.6700000002</v>
      </c>
      <c r="G15" s="107">
        <f>SUM('Pt 1 Summary of Data'!I$5:I$7)-SUM(G$9:G$10)</f>
        <v>0</v>
      </c>
      <c r="H15" s="117">
        <v>510391.3</v>
      </c>
      <c r="I15" s="118">
        <v>874906.8</v>
      </c>
      <c r="J15" s="106">
        <f>SUM('Pt 1 Summary of Data'!K$5:K$7)+SUM('Pt 1 Summary of Data'!M$5:M$7)-SUM('Pt 1 Summary of Data'!N$5:N$7)-SUM(J$10:J$11)+I$55</f>
        <v>682537.83</v>
      </c>
      <c r="K15" s="106">
        <f>SUM(H15:J15)</f>
        <v>2067835.9300000002</v>
      </c>
      <c r="L15" s="107">
        <f>SUM('Pt 1 Summary of Data'!O$5:O$7)-L$10</f>
        <v>0</v>
      </c>
      <c r="M15" s="117">
        <v>27254329.809999999</v>
      </c>
      <c r="N15" s="118">
        <v>25585577.91</v>
      </c>
      <c r="O15" s="106">
        <f>SUM('Pt 1 Summary of Data'!Q$5:Q$7)+SUM('Pt 1 Summary of Data'!S$5:S$7)-SUM('Pt 1 Summary of Data'!T$5:T$7)+N$55</f>
        <v>25021225.889999997</v>
      </c>
      <c r="P15" s="106">
        <f>SUM(M15:O15)</f>
        <v>77861133.609999999</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-99229.819999999992</v>
      </c>
      <c r="D16" s="110">
        <v>6744</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31446.279999999995</v>
      </c>
      <c r="F16" s="115">
        <f>SUM(C16:E16)</f>
        <v>-61039.539999999994</v>
      </c>
      <c r="G16" s="116">
        <f>SUM('Pt 1 Summary of Data'!I$25:I$28,'Pt 1 Summary of Data'!I$30,'Pt 1 Summary of Data'!I$34:I$35)+IF('Company Information'!$C$15="No",IF(MAX('Pt 1 Summary of Data'!I$31:I$32)=0,MIN('Pt 1 Summary of Data'!I$31:I$32),MAX('Pt 1 Summary of Data'!I$31:I$32)),SUM('Pt 1 Summary of Data'!I$31:I$32))</f>
        <v>0</v>
      </c>
      <c r="H16" s="109">
        <v>-21236.190000000002</v>
      </c>
      <c r="I16" s="110">
        <v>39663</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11689.189999999999</v>
      </c>
      <c r="K16" s="115">
        <f>SUM(H16:J16)</f>
        <v>30115.999999999996</v>
      </c>
      <c r="L16" s="116">
        <f>SUM('Pt 1 Summary of Data'!O$25:O$28,'Pt 1 Summary of Data'!O$30,'Pt 1 Summary of Data'!O$34:O$35)+IF('Company Information'!$C$15="No",IF(MAX('Pt 1 Summary of Data'!O$31:O$32)=0,MIN('Pt 1 Summary of Data'!O$31:O$32),MAX('Pt 1 Summary of Data'!O$31:O$32)),SUM('Pt 1 Summary of Data'!O$31:O$32))</f>
        <v>0</v>
      </c>
      <c r="M16" s="109">
        <v>64777.819999999992</v>
      </c>
      <c r="N16" s="110">
        <v>412817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668764.11</v>
      </c>
      <c r="P16" s="115">
        <f>SUM(M16:O16)</f>
        <v>1146358.93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801817.25999999989</v>
      </c>
      <c r="D17" s="115">
        <f>D$15-D$16+IF(AND(OR('Company Information'!$C$12="District of Columbia",'Company Information'!$C$12="Massachusetts",'Company Information'!$C$12="Vermont"),SUM($C$6:$F$11,$C$15:$F$16,$C$37:$D$37)&lt;&gt;0),I$15-I$16,0)</f>
        <v>605497.39</v>
      </c>
      <c r="E17" s="115">
        <f>E$15-E$16+IF(AND(OR('Company Information'!$C$12="District of Columbia",'Company Information'!$C$12="Massachusetts",'Company Information'!$C$12="Vermont"),SUM($C$6:$F$11,$C$15:$F$16,$C$37:$D$37)&lt;&gt;0),J$15-J$16,0)</f>
        <v>470705.56000000006</v>
      </c>
      <c r="F17" s="115">
        <f>F$15-F$16+IF(AND(OR('Company Information'!$C$12="District of Columbia",'Company Information'!$C$12="Massachusetts",'Company Information'!$C$12="Vermont"),SUM($C$6:$F$11,$C$15:$F$16,$C$37:$D$37)&lt;&gt;0),K$15-K$16,0)</f>
        <v>1878020.2100000002</v>
      </c>
      <c r="G17" s="314"/>
      <c r="H17" s="114">
        <f>H$15-H$16+IF(AND(OR('Company Information'!$C$12="District of Columbia",'Company Information'!$C$12="Massachusetts",'Company Information'!$C$12="Vermont"),SUM($H$6:$K$11,$H$15:$K$16,$H$37:$I$37)&lt;&gt;0),C$15-C$16,0)</f>
        <v>531627.49</v>
      </c>
      <c r="I17" s="115">
        <f>I$15-I$16+IF(AND(OR('Company Information'!$C$12="District of Columbia",'Company Information'!$C$12="Massachusetts",'Company Information'!$C$12="Vermont"),SUM($H$6:$K$11,$H$15:$K$16,$H$37:$I$37)&lt;&gt;0),D$15-D$16,0)</f>
        <v>835243.8</v>
      </c>
      <c r="J17" s="115">
        <f>J$15-J$16+IF(AND(OR('Company Information'!$C$12="District of Columbia",'Company Information'!$C$12="Massachusetts",'Company Information'!$C$12="Vermont"),SUM($H$6:$K$11,$H$15:$K$16,$H$37:$I$37)&lt;&gt;0),E$15-E$16,0)</f>
        <v>670848.64</v>
      </c>
      <c r="K17" s="115">
        <f>K$15-K$16+IF(AND(OR('Company Information'!$C$12="District of Columbia",'Company Information'!$C$12="Massachusetts",'Company Information'!$C$12="Vermont"),SUM($H$6:$K$11,$H$15:$K$16,$H$37:$I$37)&lt;&gt;0),F$15-F$16,0)</f>
        <v>2037719.9300000002</v>
      </c>
      <c r="L17" s="314"/>
      <c r="M17" s="114">
        <f>M$15-M$16</f>
        <v>27189551.989999998</v>
      </c>
      <c r="N17" s="115">
        <f>N$15-N$16</f>
        <v>25172760.91</v>
      </c>
      <c r="O17" s="115">
        <f>O$15-O$16</f>
        <v>24352461.779999997</v>
      </c>
      <c r="P17" s="115">
        <f>P$15-P$16</f>
        <v>76714774.679999992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479.83333333333331</v>
      </c>
      <c r="D37" s="122">
        <v>423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272.33333333333331</v>
      </c>
      <c r="F37" s="256">
        <f>SUM(C$37:E$37)+IF(AND(OR('Company Information'!$C$12="District of Columbia",'Company Information'!$C$12="Massachusetts",'Company Information'!$C$12="Vermont"),SUM($C$6:$F$11,$C$15:$F$16,$C$37:$D$37)&lt;&gt;0,SUM(C$37:D$37)&lt;&gt;SUM(H$37:I$37)),SUM(H$37:I$37),0)</f>
        <v>1175.1666666666665</v>
      </c>
      <c r="G37" s="312"/>
      <c r="H37" s="121">
        <v>401.66666666666669</v>
      </c>
      <c r="I37" s="122">
        <v>511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259.83333333333331</v>
      </c>
      <c r="K37" s="256">
        <f>SUM(H$37:J$37)+IF(AND(OR('Company Information'!$C$12="District of Columbia",'Company Information'!$C$12="Massachusetts",'Company Information'!$C$12="Vermont"),SUM($H$6:$K$11,$H$15:$K$16,$H$37:$I$37)&lt;&gt;0,SUM(H$37:I$37)&lt;&gt;SUM(C$37:D$37)),SUM(C$37:D$37),0)</f>
        <v>1172.5</v>
      </c>
      <c r="L37" s="312"/>
      <c r="M37" s="121">
        <v>11476.666666666666</v>
      </c>
      <c r="N37" s="122">
        <v>9930</v>
      </c>
      <c r="O37" s="256">
        <f>('Pt 1 Summary of Data'!Q$59+'Pt 1 Summary of Data'!S$59-'Pt 1 Summary of Data'!T$59)/12</f>
        <v>9474.3333333333339</v>
      </c>
      <c r="P37" s="256">
        <f>SUM(M$37:O$37)</f>
        <v>30881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7.9379888888888889E-2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7.9435000000000006E-2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1.5059040000000001E-2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7.9379888888888889E-2</v>
      </c>
      <c r="G41" s="311"/>
      <c r="H41" s="292"/>
      <c r="I41" s="288"/>
      <c r="J41" s="288"/>
      <c r="K41" s="260">
        <f ca="1">IF(OR(K$37&lt;1000,K$37&gt;=75000),0,K$38*K$40)</f>
        <v>7.9435000000000006E-2</v>
      </c>
      <c r="L41" s="311"/>
      <c r="M41" s="292"/>
      <c r="N41" s="288"/>
      <c r="O41" s="288"/>
      <c r="P41" s="260">
        <f ca="1">IF(OR(P$37&lt;1000,P$37&gt;=75000),0,P$38*P$40)</f>
        <v>1.5059040000000001E-2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f>IF(OR(F$37&lt;1000,F$17&lt;=0),"",F$12/F$17)</f>
        <v>0.9973117389934798</v>
      </c>
      <c r="G44" s="311"/>
      <c r="H44" s="262" t="str">
        <f>IF(OR(H$37&lt;1000,H$17&lt;=0),"",H$12/H$17)</f>
        <v/>
      </c>
      <c r="I44" s="260" t="str">
        <f>IF(OR(I$37&lt;1000,I$17&lt;=0),"",I$12/I$17)</f>
        <v/>
      </c>
      <c r="J44" s="260" t="str">
        <f>IF(OR(J$37&lt;1000,J$17&lt;=0),"",J$12/J$17)</f>
        <v/>
      </c>
      <c r="K44" s="260">
        <f>IF(OR(K$37&lt;1000,K$17&lt;=0),"",K$12/K$17)</f>
        <v>0.60085700578394097</v>
      </c>
      <c r="L44" s="311"/>
      <c r="M44" s="262">
        <f>IF(OR(M$37&lt;1000,M$17&lt;=0),"",M$12/M$17)</f>
        <v>0.87054951029371497</v>
      </c>
      <c r="N44" s="260">
        <f>IF(OR(N$37&lt;1000,N$17&lt;=0),"",N$12/N$17)</f>
        <v>0.75295324141292441</v>
      </c>
      <c r="O44" s="260">
        <f>IF(OR(O$37&lt;1000,O$17&lt;=0),"",O$12/O$17)</f>
        <v>0.86167004680283665</v>
      </c>
      <c r="P44" s="260">
        <f>IF(OR(P$37&lt;1000,P$17&lt;=0),"",P$12/P$17)</f>
        <v>0.82914341128628544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7.9379888888888889E-2</v>
      </c>
      <c r="G46" s="311"/>
      <c r="H46" s="292"/>
      <c r="I46" s="288"/>
      <c r="J46" s="288"/>
      <c r="K46" s="260">
        <f ca="1">IF(K$44="","",K$41)</f>
        <v>7.9435000000000006E-2</v>
      </c>
      <c r="L46" s="311"/>
      <c r="M46" s="292"/>
      <c r="N46" s="288"/>
      <c r="O46" s="288"/>
      <c r="P46" s="260">
        <f ca="1">IF(P$44="","",P$41)</f>
        <v>1.5059040000000001E-2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1.077</v>
      </c>
      <c r="G47" s="311"/>
      <c r="H47" s="292"/>
      <c r="I47" s="288"/>
      <c r="J47" s="288"/>
      <c r="K47" s="260">
        <f ca="1">IF(K$44="","",ROUND(K$44+MAX(0,K$46),3))</f>
        <v>0.68</v>
      </c>
      <c r="L47" s="311"/>
      <c r="M47" s="292"/>
      <c r="N47" s="288"/>
      <c r="O47" s="288"/>
      <c r="P47" s="260">
        <f ca="1">IF(P$44="","",ROUND(P$44+MAX(0,P$46),3))</f>
        <v>0.84399999999999997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1.077</v>
      </c>
      <c r="G50" s="311"/>
      <c r="H50" s="293"/>
      <c r="I50" s="289"/>
      <c r="J50" s="289"/>
      <c r="K50" s="260">
        <f ca="1">K$47</f>
        <v>0.68</v>
      </c>
      <c r="L50" s="311"/>
      <c r="M50" s="293"/>
      <c r="N50" s="289"/>
      <c r="O50" s="289"/>
      <c r="P50" s="260">
        <f ca="1">P$47</f>
        <v>0.84399999999999997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470705.56000000006</v>
      </c>
      <c r="G51" s="311"/>
      <c r="H51" s="292"/>
      <c r="I51" s="288"/>
      <c r="J51" s="288"/>
      <c r="K51" s="115">
        <f>IF(K$37&lt;1000,"",MAX(0,J$15-J$16))</f>
        <v>670848.64</v>
      </c>
      <c r="L51" s="311"/>
      <c r="M51" s="292"/>
      <c r="N51" s="288"/>
      <c r="O51" s="288"/>
      <c r="P51" s="115">
        <f>IF(P$37&lt;1000,"",MAX(0,O$15-O$16))</f>
        <v>24352461.779999997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v>80501.836800000005</v>
      </c>
      <c r="L52" s="311"/>
      <c r="M52" s="292"/>
      <c r="N52" s="288"/>
      <c r="O52" s="288"/>
      <c r="P52" s="115">
        <v>146114.7706800001</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281</v>
      </c>
      <c r="D4" s="149">
        <f>'Pt 1 Summary of Data'!$K$56+'Pt 1 Summary of Data'!$M$56-'Pt 1 Summary of Data'!$N$56</f>
        <v>106</v>
      </c>
      <c r="E4" s="149">
        <f>'Pt 1 Summary of Data'!$Q$56+'Pt 1 Summary of Data'!$S$56-'Pt 1 Summary of Data'!$T$56</f>
        <v>3823</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6</v>
      </c>
      <c r="E6" s="123">
        <v>17</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v>2</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80501.836800000005</v>
      </c>
      <c r="E11" s="119">
        <f>'Pt 3 MLR and Rebate Calculation'!$P$52</f>
        <v>146114.7706800001</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v>-5</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80501.836800000005</v>
      </c>
      <c r="E14" s="113">
        <v>146114.7706800001</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604146.26184000052</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37247.820000000007</v>
      </c>
      <c r="F22" s="212"/>
      <c r="G22" s="212"/>
      <c r="H22" s="212"/>
      <c r="I22" s="359"/>
      <c r="J22" s="359"/>
      <c r="K22" s="368"/>
    </row>
    <row r="23" spans="2:12" s="5" customFormat="1" ht="100.15" customHeight="1" x14ac:dyDescent="0.2">
      <c r="B23" s="102" t="s">
        <v>212</v>
      </c>
      <c r="C23" s="381" t="s">
        <v>526</v>
      </c>
      <c r="D23" s="382"/>
      <c r="E23" s="382"/>
      <c r="F23" s="382"/>
      <c r="G23" s="382"/>
      <c r="H23" s="382"/>
      <c r="I23" s="382"/>
      <c r="J23" s="382"/>
      <c r="K23" s="383"/>
    </row>
    <row r="24" spans="2:12" s="5" customFormat="1" ht="100.15" customHeight="1" x14ac:dyDescent="0.2">
      <c r="B24" s="101" t="s">
        <v>213</v>
      </c>
      <c r="C24" s="384" t="s">
        <v>527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t="s">
        <v>506</v>
      </c>
      <c r="E28" s="7"/>
    </row>
    <row r="29" spans="2:5" ht="35.25" customHeight="1" x14ac:dyDescent="0.2">
      <c r="B29" s="219"/>
      <c r="C29" s="150"/>
      <c r="D29" s="222" t="s">
        <v>507</v>
      </c>
      <c r="E29" s="7"/>
    </row>
    <row r="30" spans="2:5" ht="35.25" customHeight="1" x14ac:dyDescent="0.2">
      <c r="B30" s="219"/>
      <c r="C30" s="150"/>
      <c r="D30" s="222" t="s">
        <v>508</v>
      </c>
      <c r="E30" s="7"/>
    </row>
    <row r="31" spans="2:5" ht="35.25" customHeight="1" x14ac:dyDescent="0.2">
      <c r="B31" s="219"/>
      <c r="C31" s="150"/>
      <c r="D31" s="222" t="s">
        <v>509</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510</v>
      </c>
      <c r="E34" s="7"/>
    </row>
    <row r="35" spans="2:5" ht="35.25" customHeight="1" x14ac:dyDescent="0.2">
      <c r="B35" s="219"/>
      <c r="C35" s="150"/>
      <c r="D35" s="222" t="s">
        <v>511</v>
      </c>
      <c r="E35" s="7"/>
    </row>
    <row r="36" spans="2:5" ht="35.25" customHeight="1" x14ac:dyDescent="0.2">
      <c r="B36" s="219"/>
      <c r="C36" s="150"/>
      <c r="D36" s="222" t="s">
        <v>512</v>
      </c>
      <c r="E36" s="7"/>
    </row>
    <row r="37" spans="2:5" ht="35.25" customHeight="1" x14ac:dyDescent="0.2">
      <c r="B37" s="219"/>
      <c r="C37" s="150"/>
      <c r="D37" s="222" t="s">
        <v>513</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t="s">
        <v>516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517</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517</v>
      </c>
      <c r="E67" s="7"/>
    </row>
    <row r="68" spans="2:5" ht="35.25" customHeight="1" x14ac:dyDescent="0.2">
      <c r="B68" s="219"/>
      <c r="C68" s="152"/>
      <c r="D68" s="222" t="s">
        <v>518</v>
      </c>
      <c r="E68" s="7"/>
    </row>
    <row r="69" spans="2:5" ht="35.25" customHeight="1" x14ac:dyDescent="0.2">
      <c r="B69" s="219"/>
      <c r="C69" s="152"/>
      <c r="D69" s="222" t="s">
        <v>519</v>
      </c>
      <c r="E69" s="7"/>
    </row>
    <row r="70" spans="2:5" ht="35.25" customHeight="1" x14ac:dyDescent="0.2">
      <c r="B70" s="219"/>
      <c r="C70" s="152"/>
      <c r="D70" s="222" t="s">
        <v>520</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517</v>
      </c>
      <c r="E78" s="7"/>
    </row>
    <row r="79" spans="2:5" ht="35.25" customHeight="1" x14ac:dyDescent="0.2">
      <c r="B79" s="219"/>
      <c r="C79" s="152"/>
      <c r="D79" s="222" t="s">
        <v>518</v>
      </c>
      <c r="E79" s="7"/>
    </row>
    <row r="80" spans="2:5" ht="35.25" customHeight="1" x14ac:dyDescent="0.2">
      <c r="B80" s="219"/>
      <c r="C80" s="152"/>
      <c r="D80" s="222" t="s">
        <v>519</v>
      </c>
      <c r="E80" s="7"/>
    </row>
    <row r="81" spans="2:5" ht="35.25" customHeight="1" x14ac:dyDescent="0.2">
      <c r="B81" s="219"/>
      <c r="C81" s="152"/>
      <c r="D81" s="222" t="s">
        <v>520</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517</v>
      </c>
      <c r="E89" s="7"/>
    </row>
    <row r="90" spans="2:5" ht="35.25" customHeight="1" x14ac:dyDescent="0.2">
      <c r="B90" s="219"/>
      <c r="C90" s="152"/>
      <c r="D90" s="222" t="s">
        <v>518</v>
      </c>
      <c r="E90" s="7"/>
    </row>
    <row r="91" spans="2:5" ht="35.25" customHeight="1" x14ac:dyDescent="0.2">
      <c r="B91" s="219"/>
      <c r="C91" s="152"/>
      <c r="D91" s="222" t="s">
        <v>519</v>
      </c>
      <c r="E91" s="7"/>
    </row>
    <row r="92" spans="2:5" ht="35.25" customHeight="1" x14ac:dyDescent="0.2">
      <c r="B92" s="219"/>
      <c r="C92" s="152"/>
      <c r="D92" s="222" t="s">
        <v>520</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521</v>
      </c>
      <c r="E100" s="7"/>
    </row>
    <row r="101" spans="2:5" ht="35.25" customHeight="1" x14ac:dyDescent="0.2">
      <c r="B101" s="219"/>
      <c r="C101" s="152"/>
      <c r="D101" s="222" t="s">
        <v>522</v>
      </c>
      <c r="E101" s="7"/>
    </row>
    <row r="102" spans="2:5" ht="35.25" customHeight="1" x14ac:dyDescent="0.2">
      <c r="B102" s="219"/>
      <c r="C102" s="152"/>
      <c r="D102" s="222" t="s">
        <v>523</v>
      </c>
      <c r="E102" s="7"/>
    </row>
    <row r="103" spans="2:5" ht="35.25" customHeight="1" x14ac:dyDescent="0.2">
      <c r="B103" s="219"/>
      <c r="C103" s="152"/>
      <c r="D103" s="222" t="s">
        <v>524</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t="s">
        <v>518</v>
      </c>
      <c r="E112" s="27"/>
    </row>
    <row r="113" spans="2:5" s="5" customFormat="1" ht="35.25" customHeight="1" x14ac:dyDescent="0.2">
      <c r="B113" s="219"/>
      <c r="C113" s="152"/>
      <c r="D113" s="222" t="s">
        <v>519</v>
      </c>
      <c r="E113" s="27"/>
    </row>
    <row r="114" spans="2:5" s="5" customFormat="1" ht="35.25" customHeight="1" x14ac:dyDescent="0.2">
      <c r="B114" s="219"/>
      <c r="C114" s="152"/>
      <c r="D114" s="222" t="s">
        <v>520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t="s">
        <v>518</v>
      </c>
      <c r="E124" s="27"/>
    </row>
    <row r="125" spans="2:5" s="5" customFormat="1" ht="35.25" customHeight="1" x14ac:dyDescent="0.2">
      <c r="B125" s="219"/>
      <c r="C125" s="150"/>
      <c r="D125" s="222" t="s">
        <v>519</v>
      </c>
      <c r="E125" s="27"/>
    </row>
    <row r="126" spans="2:5" s="5" customFormat="1" ht="35.25" customHeight="1" x14ac:dyDescent="0.2">
      <c r="B126" s="219"/>
      <c r="C126" s="150"/>
      <c r="D126" s="222" t="s">
        <v>520</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517</v>
      </c>
      <c r="E134" s="27"/>
    </row>
    <row r="135" spans="2:5" s="5" customFormat="1" ht="35.25" customHeight="1" x14ac:dyDescent="0.2">
      <c r="B135" s="219"/>
      <c r="C135" s="150"/>
      <c r="D135" s="222" t="s">
        <v>518</v>
      </c>
      <c r="E135" s="27"/>
    </row>
    <row r="136" spans="2:5" s="5" customFormat="1" ht="35.25" customHeight="1" x14ac:dyDescent="0.2">
      <c r="B136" s="219"/>
      <c r="C136" s="150"/>
      <c r="D136" s="222" t="s">
        <v>519</v>
      </c>
      <c r="E136" s="27"/>
    </row>
    <row r="137" spans="2:5" s="5" customFormat="1" ht="35.25" customHeight="1" x14ac:dyDescent="0.2">
      <c r="B137" s="219"/>
      <c r="C137" s="150"/>
      <c r="D137" s="222" t="s">
        <v>520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t="s">
        <v>519</v>
      </c>
      <c r="E146" s="27"/>
    </row>
    <row r="147" spans="2:5" s="5" customFormat="1" ht="35.25" customHeight="1" x14ac:dyDescent="0.2">
      <c r="B147" s="219"/>
      <c r="C147" s="150"/>
      <c r="D147" s="222" t="s">
        <v>520</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t="s">
        <v>519</v>
      </c>
      <c r="E168" s="27"/>
    </row>
    <row r="169" spans="2:5" s="5" customFormat="1" ht="35.25" customHeight="1" x14ac:dyDescent="0.2">
      <c r="B169" s="219"/>
      <c r="C169" s="150"/>
      <c r="D169" s="222" t="s">
        <v>520</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t="s">
        <v>519</v>
      </c>
      <c r="E179" s="27"/>
    </row>
    <row r="180" spans="2:5" s="5" customFormat="1" ht="35.25" customHeight="1" x14ac:dyDescent="0.2">
      <c r="B180" s="219"/>
      <c r="C180" s="150"/>
      <c r="D180" s="222" t="s">
        <v>520</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517</v>
      </c>
      <c r="E200" s="27"/>
    </row>
    <row r="201" spans="2:5" s="5" customFormat="1" ht="35.25" customHeight="1" x14ac:dyDescent="0.2">
      <c r="B201" s="219"/>
      <c r="C201" s="150"/>
      <c r="D201" s="222" t="s">
        <v>518</v>
      </c>
      <c r="E201" s="27"/>
    </row>
    <row r="202" spans="2:5" s="5" customFormat="1" ht="35.25" customHeight="1" x14ac:dyDescent="0.2">
      <c r="B202" s="219"/>
      <c r="C202" s="150"/>
      <c r="D202" s="222" t="s">
        <v>519</v>
      </c>
      <c r="E202" s="27"/>
    </row>
    <row r="203" spans="2:5" s="5" customFormat="1" ht="35.25" customHeight="1" x14ac:dyDescent="0.2">
      <c r="B203" s="219"/>
      <c r="C203" s="150"/>
      <c r="D203" s="222" t="s">
        <v>520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2015-07-22T23:57:19Z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