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X38" i="10" s="1"/>
  <c r="U49" i="10"/>
  <c r="T49" i="10"/>
  <c r="S49" i="10"/>
  <c r="R49" i="10"/>
  <c r="Q49" i="10"/>
  <c r="H11" i="16"/>
  <c r="H4" i="16"/>
  <c r="G4" i="16"/>
  <c r="F4" i="16"/>
  <c r="E4" i="16"/>
  <c r="D4" i="16"/>
  <c r="C4" i="16"/>
  <c r="AB52" i="10"/>
  <c r="X52" i="10"/>
  <c r="G11" i="16" s="1"/>
  <c r="T52" i="10"/>
  <c r="F11" i="16" s="1"/>
  <c r="AB51" i="10"/>
  <c r="X51" i="10"/>
  <c r="T51" i="10"/>
  <c r="P51" i="10"/>
  <c r="AB50" i="10"/>
  <c r="AB47" i="10"/>
  <c r="AB46" i="10"/>
  <c r="AB45" i="10"/>
  <c r="AA45" i="10"/>
  <c r="Z45" i="10"/>
  <c r="AB38" i="10" s="1"/>
  <c r="Y45" i="10"/>
  <c r="X45" i="10"/>
  <c r="X47" i="10" s="1"/>
  <c r="X50" i="10" s="1"/>
  <c r="W45" i="10"/>
  <c r="V45" i="10"/>
  <c r="U45" i="10"/>
  <c r="T45" i="10"/>
  <c r="T47" i="10" s="1"/>
  <c r="T50" i="10" s="1"/>
  <c r="S45" i="10"/>
  <c r="R45" i="10"/>
  <c r="Q45" i="10"/>
  <c r="P44" i="10"/>
  <c r="O44" i="10"/>
  <c r="N44" i="10"/>
  <c r="M44" i="10"/>
  <c r="AB41" i="10"/>
  <c r="X41" i="10"/>
  <c r="T41" i="10"/>
  <c r="AB40" i="10"/>
  <c r="X40" i="10"/>
  <c r="T40" i="10"/>
  <c r="P40" i="10"/>
  <c r="K40" i="10"/>
  <c r="F40" i="10"/>
  <c r="T38"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W13" i="10" s="1"/>
  <c r="T16" i="10"/>
  <c r="R13" i="10" s="1"/>
  <c r="S16" i="10"/>
  <c r="P16" i="10"/>
  <c r="O16" i="10"/>
  <c r="L16" i="10"/>
  <c r="K16" i="10"/>
  <c r="J16" i="10"/>
  <c r="G16" i="10"/>
  <c r="F16" i="10"/>
  <c r="E16" i="10"/>
  <c r="AB15" i="10"/>
  <c r="AA15" i="10"/>
  <c r="X15" i="10"/>
  <c r="W15" i="10"/>
  <c r="T15" i="10"/>
  <c r="S15" i="10"/>
  <c r="P15" i="10"/>
  <c r="O15" i="10"/>
  <c r="L15" i="10"/>
  <c r="AB13" i="10"/>
  <c r="AA13" i="10"/>
  <c r="Z13" i="10"/>
  <c r="Y13" i="10"/>
  <c r="V13" i="10"/>
  <c r="U13" i="10"/>
  <c r="S13" i="10"/>
  <c r="Q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W22" i="4" s="1"/>
  <c r="V55" i="18"/>
  <c r="U55" i="18"/>
  <c r="T55" i="18"/>
  <c r="S55" i="18"/>
  <c r="S22" i="4" s="1"/>
  <c r="R55" i="18"/>
  <c r="R22" i="4" s="1"/>
  <c r="Q55" i="18"/>
  <c r="Q22" i="4" s="1"/>
  <c r="P55" i="18"/>
  <c r="O55" i="18"/>
  <c r="O22" i="4" s="1"/>
  <c r="N55" i="18"/>
  <c r="N22" i="4" s="1"/>
  <c r="M55" i="18"/>
  <c r="M22" i="4" s="1"/>
  <c r="L55" i="18"/>
  <c r="L22" i="4" s="1"/>
  <c r="K55" i="18"/>
  <c r="J55" i="18"/>
  <c r="J22" i="4" s="1"/>
  <c r="I55" i="18"/>
  <c r="H55" i="18"/>
  <c r="H22" i="4" s="1"/>
  <c r="G55" i="18"/>
  <c r="F55" i="18"/>
  <c r="E55" i="18"/>
  <c r="E22" i="4" s="1"/>
  <c r="D55" i="18"/>
  <c r="D22" i="4" s="1"/>
  <c r="AU54" i="18"/>
  <c r="AT54" i="18"/>
  <c r="AS54" i="18"/>
  <c r="AC54" i="18"/>
  <c r="AB54" i="18"/>
  <c r="AA54" i="18"/>
  <c r="Z54" i="18"/>
  <c r="Y54" i="18"/>
  <c r="X54" i="18"/>
  <c r="W54" i="18"/>
  <c r="V54" i="18"/>
  <c r="U54" i="18"/>
  <c r="T54" i="18"/>
  <c r="S54" i="18"/>
  <c r="R54" i="18"/>
  <c r="Q54" i="18"/>
  <c r="P54" i="18"/>
  <c r="O54" i="18"/>
  <c r="N54" i="18"/>
  <c r="M54" i="18"/>
  <c r="L54" i="18"/>
  <c r="K54" i="18"/>
  <c r="J54" i="18"/>
  <c r="I54" i="18"/>
  <c r="I12" i="4" s="1"/>
  <c r="H54" i="18"/>
  <c r="H12" i="4" s="1"/>
  <c r="G54" i="18"/>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V22" i="4"/>
  <c r="U22" i="4"/>
  <c r="T22" i="4"/>
  <c r="P22" i="4"/>
  <c r="K22" i="4"/>
  <c r="I22" i="4"/>
  <c r="G22" i="4"/>
  <c r="F22" i="4"/>
  <c r="AU12" i="4"/>
  <c r="AT12" i="4"/>
  <c r="AS12" i="4"/>
  <c r="AC12" i="4"/>
  <c r="AB12" i="4"/>
  <c r="AA12" i="4"/>
  <c r="Z12" i="4"/>
  <c r="Y12" i="4"/>
  <c r="X12" i="4"/>
  <c r="W12" i="4"/>
  <c r="V12" i="4"/>
  <c r="U12" i="4"/>
  <c r="T12" i="4"/>
  <c r="S12" i="4"/>
  <c r="R12" i="4"/>
  <c r="Q12" i="4"/>
  <c r="P12" i="4"/>
  <c r="O12" i="4"/>
  <c r="N12" i="4"/>
  <c r="M12" i="4"/>
  <c r="L12" i="4"/>
  <c r="K12" i="4"/>
  <c r="J12" i="4"/>
  <c r="G12" i="4"/>
  <c r="E12" i="4"/>
  <c r="AU5" i="4"/>
  <c r="AT5" i="4"/>
  <c r="AS5" i="4"/>
  <c r="AC5" i="4"/>
  <c r="AB5" i="4"/>
  <c r="AA5" i="4"/>
  <c r="Z5" i="4"/>
  <c r="Y5" i="4"/>
  <c r="X5" i="4"/>
  <c r="W5" i="4"/>
  <c r="V5" i="4"/>
  <c r="U5" i="4"/>
  <c r="T5" i="4"/>
  <c r="S5" i="4"/>
  <c r="R5" i="4"/>
  <c r="Q5" i="4"/>
  <c r="P5" i="4"/>
  <c r="O5" i="4"/>
  <c r="N5" i="4"/>
  <c r="M5" i="4"/>
  <c r="L5" i="4"/>
  <c r="K5" i="4"/>
  <c r="J7" i="10" s="1"/>
  <c r="J5" i="4"/>
  <c r="I5" i="4"/>
  <c r="G7" i="10" s="1"/>
  <c r="H5" i="4"/>
  <c r="G5" i="4"/>
  <c r="F5" i="4"/>
  <c r="E5" i="4"/>
  <c r="E15" i="10" s="1"/>
  <c r="D5" i="4"/>
  <c r="F15" i="10" l="1"/>
  <c r="K7" i="10"/>
  <c r="G20" i="10"/>
  <c r="E7" i="10"/>
  <c r="G15" i="10"/>
  <c r="J15" i="10"/>
  <c r="G29" i="10"/>
  <c r="G19" i="10"/>
  <c r="G21" i="10"/>
  <c r="G25" i="10"/>
  <c r="L23" i="10"/>
  <c r="L27" i="10" s="1"/>
  <c r="G28" i="10"/>
  <c r="X46" i="10"/>
  <c r="T46" i="10"/>
  <c r="T13" i="10"/>
  <c r="P41" i="10"/>
  <c r="P46" i="10" s="1"/>
  <c r="P47" i="10" s="1"/>
  <c r="P50" i="10" s="1"/>
  <c r="P52" i="10" s="1"/>
  <c r="E11" i="16" s="1"/>
  <c r="X13" i="10"/>
  <c r="H12" i="10" l="1"/>
  <c r="G24" i="10"/>
  <c r="G23" i="10" s="1"/>
  <c r="G27" i="10" s="1"/>
  <c r="G26" i="10" s="1"/>
  <c r="G30" i="10" s="1"/>
  <c r="F7" i="10"/>
  <c r="C17" i="10" s="1"/>
  <c r="E37" i="10"/>
  <c r="D17" i="10"/>
  <c r="D44" i="10" s="1"/>
  <c r="D12" i="10"/>
  <c r="K15" i="10"/>
  <c r="K17" i="10" s="1"/>
  <c r="J17" i="10"/>
  <c r="J12" i="10"/>
  <c r="J37" i="10"/>
  <c r="I12" i="10"/>
  <c r="G31" i="10"/>
  <c r="G32" i="10" s="1"/>
  <c r="G33" i="10" s="1"/>
  <c r="L31" i="10"/>
  <c r="L32" i="10" s="1"/>
  <c r="L33" i="10" s="1"/>
  <c r="L26" i="10"/>
  <c r="L30" i="10" s="1"/>
  <c r="C44" i="10" l="1"/>
  <c r="J44" i="10"/>
  <c r="K37" i="10"/>
  <c r="C12" i="10"/>
  <c r="F12" i="10" s="1"/>
  <c r="H17" i="10"/>
  <c r="F37" i="10"/>
  <c r="F17" i="10"/>
  <c r="I17" i="10"/>
  <c r="I44" i="10" s="1"/>
  <c r="E17" i="10"/>
  <c r="E44" i="10" s="1"/>
  <c r="E12" i="10"/>
  <c r="F44" i="10" l="1"/>
  <c r="F38" i="10"/>
  <c r="F51" i="10"/>
  <c r="F52" i="10"/>
  <c r="C11" i="16" s="1"/>
  <c r="F41" i="10"/>
  <c r="K51" i="10"/>
  <c r="H44" i="10"/>
  <c r="K38" i="10" s="1"/>
  <c r="K41" i="10" s="1"/>
  <c r="K46" i="10" s="1"/>
  <c r="K47" i="10" s="1"/>
  <c r="K50" i="10" s="1"/>
  <c r="K52" i="10" s="1"/>
  <c r="D11" i="16" s="1"/>
  <c r="K12" i="10"/>
  <c r="K44" i="10" s="1"/>
  <c r="F47" i="10" l="1"/>
  <c r="F50" i="10" s="1"/>
  <c r="F46"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<sst xmlns="http://schemas.openxmlformats.org/spreadsheetml/2006/main" count="568" uniqueCount="506">
  <si>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</si>
  <si>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</si>
  <si>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</si>
  <si>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</si>
  <si>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</si>
  <si>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</si>
  <si>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</si>
  <si>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</si>
  <si>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</si>
  <si>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</si>
  <si>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</si>
  <si>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</si>
  <si>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</si>
  <si>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</si>
  <si>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</si>
  <si>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</si>
  <si>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</si>
  <si>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</si>
  <si>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</si>
  <si>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</si>
  <si>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</si>
  <si>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</si>
  <si>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</si>
  <si>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</si>
  <si>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</si>
  <si>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</si>
  <si>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</si>
  <si>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</si>
  <si>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</si>
  <si>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</si>
  <si>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</si>
  <si>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</si>
  <si>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</si>
  <si>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</si>
  <si>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</si>
  <si>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</si>
  <si>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</si>
  <si>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</si>
  <si>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</si>
  <si>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</si>
  <si>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</si>
  <si>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</si>
  <si>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</si>
  <si>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</si>
  <si>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</si>
  <si>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</si>
  <si>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</si>
  <si>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</si>
  <si>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</si>
  <si>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</si>
  <si>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</si>
  <si>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</si>
  <si>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</si>
  <si>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</si>
  <si>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</si>
  <si>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</si>
  <si>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</si>
  <si>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</si>
  <si>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</si>
  <si>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</si>
  <si>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</si>
  <si>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</si>
  <si>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</si>
  <si>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</si>
  <si>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</si>
  <si>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</si>
  <si>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</si>
  <si>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</si>
  <si>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</si>
  <si>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</si>
  <si>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</si>
  <si>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</si>
  <si>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</si>
  <si>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</si>
  <si>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</si>
  <si>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</si>
  <si>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</si>
  <si>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</si>
  <si>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</si>
  <si>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</si>
  <si>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</si>
  <si>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</si>
  <si>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</si>
  <si>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</si>
  <si>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</si>
  <si>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</si>
  <si>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</si>
  <si>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</si>
  <si>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</si>
  <si>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</si>
  <si>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</si>
  <si>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</si>
  <si>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</si>
  <si>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</si>
  <si>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</si>
  <si>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</si>
  <si>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</si>
  <si>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</si>
  <si>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</si>
  <si>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</si>
  <si>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</si>
  <si>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</si>
  <si>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</si>
  <si>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</si>
  <si>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</si>
  <si>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</si>
  <si>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</si>
  <si>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</si>
  <si>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</si>
  <si>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</si>
  <si>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</si>
  <si>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</si>
  <si>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</si>
  <si>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</si>
  <si>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</si>
  <si>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</si>
  <si>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</si>
  <si>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</si>
  <si>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</si>
  <si>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</si>
  <si>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</si>
  <si>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</si>
  <si>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</si>
  <si>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</si>
  <si>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</si>
  <si>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</si>
  <si>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</si>
  <si>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</si>
  <si>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</si>
  <si>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</si>
  <si>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</si>
  <si>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</si>
  <si>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</si>
  <si>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</si>
  <si>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</si>
  <si>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</si>
  <si>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</si>
  <si>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</si>
  <si>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</si>
  <si>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</si>
  <si>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</si>
  <si>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</si>
  <si>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</si>
  <si>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</si>
  <si>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</si>
  <si>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</si>
  <si>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</si>
  <si>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</si>
  <si>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</si>
  <si>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</si>
  <si>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</si>
  <si>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</si>
  <si>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</si>
  <si>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</si>
  <si>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</si>
  <si>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</si>
  <si>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</si>
  <si>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</si>
  <si>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</si>
  <si>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</si>
  <si>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</si>
  <si>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</si>
  <si>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</si>
  <si>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</si>
  <si>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</si>
  <si>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</si>
  <si>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</si>
  <si>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</si>
  <si>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</si>
  <si>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</si>
  <si>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</si>
  <si>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</si>
  <si>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</si>
  <si>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</si>
  <si>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</si>
  <si>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</si>
  <si>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</si>
  <si>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</si>
  <si>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</si>
  <si>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</si>
  <si>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</si>
  <si>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</si>
  <si>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</si>
  <si>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</si>
  <si>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</si>
  <si>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</si>
  <si>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</si>
  <si>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</si>
  <si>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</si>
  <si>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</si>
  <si>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</si>
  <si>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</si>
  <si>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</si>
  <si>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</si>
  <si>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</si>
  <si>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</si>
  <si>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</si>
  <si>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</si>
  <si>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</si>
  <si>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</si>
  <si>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</si>
  <si>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</si>
  <si>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</si>
  <si>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</si>
  <si>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</si>
  <si>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</si>
  <si>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</si>
  <si>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</si>
  <si>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</si>
  <si>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</si>
  <si>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</si>
  <si>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</si>
  <si>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</si>
  <si>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</si>
  <si>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</si>
  <si>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</si>
  <si>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</si>
  <si>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</si>
  <si>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</si>
  <si>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</si>
  <si>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</si>
  <si>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</si>
  <si>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</si>
  <si>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</si>
  <si>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</si>
  <si>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</si>
  <si>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</si>
  <si>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</si>
  <si>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</si>
  <si>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</si>
  <si>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</si>
  <si>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</si>
  <si>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</si>
  <si>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</si>
  <si>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</si>
  <si>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</si>
  <si>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</si>
  <si>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</si>
  <si>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</si>
  <si>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</si>
  <si>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</si>
  <si>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</si>
  <si>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</si>
  <si>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</si>
  <si>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</si>
  <si>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</si>
  <si>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</si>
  <si>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</si>
  <si>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</si>
  <si>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</si>
  <si>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</si>
  <si>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</si>
  <si>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</si>
  <si>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</si>
  <si>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</si>
  <si>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</si>
  <si>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</si>
  <si>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</si>
  <si>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</si>
  <si>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</si>
  <si>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</si>
  <si>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</si>
  <si>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</si>
  <si>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</si>
  <si>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</si>
  <si>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</si>
  <si>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</si>
  <si>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</si>
  <si>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</si>
  <si>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</si>
  <si>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</si>
  <si>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</si>
  <si>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</si>
  <si>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</si>
  <si>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</si>
  <si>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</si>
  <si>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</si>
  <si>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</si>
  <si>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</si>
  <si>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</si>
  <si>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</si>
  <si>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</si>
  <si>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</si>
  <si>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</si>
  <si>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</si>
  <si>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</si>
  <si>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</si>
  <si>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</si>
  <si>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</si>
  <si>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</si>
  <si>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</si>
  <si>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</si>
  <si>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</si>
  <si>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</si>
  <si>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</si>
  <si>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</si>
  <si>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</si>
  <si>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</si>
  <si>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</si>
  <si>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</si>
  <si>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</si>
  <si>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</si>
  <si>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</si>
  <si>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</si>
  <si>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</si>
  <si>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</si>
  <si>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</si>
  <si>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</si>
  <si>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</si>
  <si>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</si>
  <si>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</si>
  <si>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</si>
  <si>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</si>
  <si>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</si>
  <si>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</si>
  <si>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</si>
  <si>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</si>
  <si>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</si>
  <si>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</si>
  <si>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</si>
  <si>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</si>
  <si>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</si>
  <si>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</si>
  <si>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</si>
  <si>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</si>
  <si>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</si>
  <si>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</si>
  <si>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</si>
  <si>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</si>
  <si>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</si>
  <si>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</si>
  <si>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</si>
  <si>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</si>
  <si>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</si>
  <si>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</si>
  <si>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</si>
  <si>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</si>
  <si>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</si>
  <si>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</si>
  <si>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</si>
  <si>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</si>
  <si>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</si>
  <si>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</si>
  <si>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</si>
  <si>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</si>
  <si>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</si>
  <si>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</si>
  <si>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</si>
  <si>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</si>
  <si>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</si>
  <si>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</si>
  <si>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</si>
  <si>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</si>
  <si>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</si>
  <si>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</si>
  <si>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</si>
  <si>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</si>
  <si>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</si>
  <si>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</si>
  <si>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</si>
  <si>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</si>
  <si>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</si>
  <si>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</si>
  <si>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</si>
  <si>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</si>
  <si>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</si>
  <si>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</si>
  <si>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</si>
  <si>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</si>
  <si>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</si>
  <si>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</si>
  <si>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</si>
  <si>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</si>
  <si>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</si>
  <si>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</si>
  <si>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</si>
  <si>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</si>
  <si>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</si>
  <si>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</si>
  <si>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</si>
  <si>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</si>
  <si>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</si>
  <si>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</si>
  <si>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</si>
  <si>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</si>
  <si>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</si>
  <si>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</si>
  <si>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</si>
  <si>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</si>
  <si>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</si>
  <si>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</si>
  <si>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</si>
  <si>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</si>
  <si>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</si>
  <si>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</si>
  <si>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</si>
  <si>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</si>
  <si>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</si>
  <si>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</si>
  <si>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</si>
  <si>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</si>
  <si>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</si>
  <si>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</si>
  <si>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</si>
  <si>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</si>
  <si>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</si>
  <si>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</si>
  <si>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</si>
  <si>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</si>
  <si>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</si>
  <si>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</si>
  <si>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</si>
  <si>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</si>
  <si>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</si>
  <si>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</si>
  <si>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</si>
  <si>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</si>
  <si>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</si>
  <si>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</si>
  <si>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</si>
  <si>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</si>
  <si>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</si>
  <si>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</si>
  <si>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</si>
  <si>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</si>
  <si>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</si>
  <si>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</si>
  <si>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</si>
  <si>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</si>
  <si>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</si>
  <si>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</si>
  <si>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</si>
  <si>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</si>
  <si>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</si>
  <si>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</si>
  <si>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</si>
  <si>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</si>
  <si>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</si>
  <si>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</si>
  <si>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</si>
  <si>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</si>
  <si>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</si>
  <si>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</si>
  <si>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</si>
  <si>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</si>
  <si>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</si>
  <si>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</si>
  <si>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</si>
  <si>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</si>
  <si>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</si>
  <si>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</si>
  <si>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</si>
  <si>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</si>
  <si>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</si>
  <si>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</si>
  <si>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</si>
  <si>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</si>
  <si>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</si>
  <si>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</si>
  <si>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</si>
  <si>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</si>
  <si>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</si>
  <si>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</si>
  <si>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</si>
  <si>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</si>
  <si>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</si>
  <si>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</si>
  <si>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</si>
  <si>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</si>
  <si>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</si>
  <si>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</si>
  <si>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</si>
  <si>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</si>
  <si>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</si>
  <si>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</si>
  <si>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</si>
  <si>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</si>
  <si>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</si>
  <si>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</si>
  <si>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</si>
  <si>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</si>
  <si>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</si>
  <si>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</si>
  <si>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</si>
  <si>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</si>
  <si>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</si>
  <si>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</si>
  <si>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</si>
  <si>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</si>
  <si>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</si>
  <si>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</si>
  <si>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</si>
  <si>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</si>
  <si>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</si>
  <si>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</si>
  <si>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</si>
  <si>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</si>
  <si>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</si>
  <si>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</si>
  <si>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</si>
  <si>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</si>
  <si>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</si>
  <si>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</si>
  <si>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93222</t>
  </si>
  <si>
    <t>215</t>
  </si>
  <si>
    <t>Humana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</si>
</sst>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185</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37031213</v>
      </c>
      <c r="K5" s="106">
        <f>SUM('Pt 2 Premium and Claims'!K$5,'Pt 2 Premium and Claims'!K$6,-'Pt 2 Premium and Claims'!K$7,-'Pt 2 Premium and Claims'!K$13,'Pt 2 Premium and Claims'!K$14,'Pt 2 Premium and Claims'!K$16:'Pt 2 Premium and Claims'!K$17)</f>
        <v>43766138.503745601</v>
      </c>
      <c r="L5" s="106">
        <f>SUM('Pt 2 Premium and Claims'!L$5,'Pt 2 Premium and Claims'!L$6,-'Pt 2 Premium and Claims'!L$7,-'Pt 2 Premium and Claims'!L$13,'Pt 2 Premium and Claims'!L$14,'Pt 2 Premium and Claims'!L$16:'Pt 2 Premium and Claims'!L$17)</f>
        <v>7182031.3700000001</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27058092</v>
      </c>
      <c r="Q5" s="106">
        <f>SUM('Pt 2 Premium and Claims'!Q$5,'Pt 2 Premium and Claims'!Q$6,-'Pt 2 Premium and Claims'!Q$7,-'Pt 2 Premium and Claims'!Q$13,'Pt 2 Premium and Claims'!Q$14)</f>
        <v>32678265.994132902</v>
      </c>
      <c r="R5" s="106">
        <f>SUM('Pt 2 Premium and Claims'!R$5,'Pt 2 Premium and Claims'!R$6,-'Pt 2 Premium and Claims'!R$7,-'Pt 2 Premium and Claims'!R$13,'Pt 2 Premium and Claims'!R$14)</f>
        <v>5303425.21</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0</v>
      </c>
      <c r="AT5" s="107">
        <f>SUM('Pt 2 Premium and Claims'!AT$5,'Pt 2 Premium and Claims'!AT$6,-'Pt 2 Premium and Claims'!AT$7,-'Pt 2 Premium and Claims'!AT$13,'Pt 2 Premium and Claims'!AT$14)</f>
        <v>0</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v>-6977</v>
      </c>
      <c r="K7" s="110">
        <v>-17182.473320069061</v>
      </c>
      <c r="L7" s="110">
        <v>-10205.473320069059</v>
      </c>
      <c r="M7" s="110"/>
      <c r="N7" s="110"/>
      <c r="O7" s="109"/>
      <c r="P7" s="109">
        <v>-7817</v>
      </c>
      <c r="Q7" s="110">
        <v>-19402.328465743485</v>
      </c>
      <c r="R7" s="110">
        <v>-11585.328465743487</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-69669</v>
      </c>
      <c r="K8" s="289"/>
      <c r="L8" s="290"/>
      <c r="M8" s="290"/>
      <c r="N8" s="290"/>
      <c r="O8" s="293"/>
      <c r="P8" s="109">
        <v>-43072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29381674</v>
      </c>
      <c r="K12" s="106">
        <f>'Pt 2 Premium and Claims'!K$54</f>
        <v>33257133.932896413</v>
      </c>
      <c r="L12" s="106">
        <f>'Pt 2 Premium and Claims'!L$54</f>
        <v>5451257.3132000007</v>
      </c>
      <c r="M12" s="106">
        <f>'Pt 2 Premium and Claims'!M$54</f>
        <v>0</v>
      </c>
      <c r="N12" s="106">
        <f>'Pt 2 Premium and Claims'!N$54</f>
        <v>0</v>
      </c>
      <c r="O12" s="105">
        <f>'Pt 2 Premium and Claims'!O$54</f>
        <v>0</v>
      </c>
      <c r="P12" s="105">
        <f>'Pt 2 Premium and Claims'!P$54</f>
        <v>22180256</v>
      </c>
      <c r="Q12" s="106">
        <f>'Pt 2 Premium and Claims'!Q$54</f>
        <v>26105706.649503589</v>
      </c>
      <c r="R12" s="106">
        <f>'Pt 2 Premium and Claims'!R$54</f>
        <v>4311851.4141999995</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0</v>
      </c>
      <c r="AT12" s="107">
        <f>'Pt 2 Premium and Claims'!AT$54</f>
        <v>0</v>
      </c>
      <c r="AU12" s="107">
        <f>'Pt 2 Premium and Claims'!AU$54</f>
        <v>0</v>
      </c>
      <c r="AV12" s="312"/>
      <c r="AW12" s="317"/>
    </row>
    <row r="13" spans="1:49" ht="25.5" x14ac:dyDescent="0.2">
      <c r="B13" s="155" t="s">
        <v>230</v>
      </c>
      <c r="C13" s="62" t="s">
        <v>37</v>
      </c>
      <c r="D13" s="109"/>
      <c r="E13" s="110">
        <v>-652.75</v>
      </c>
      <c r="F13" s="110"/>
      <c r="G13" s="289"/>
      <c r="H13" s="290"/>
      <c r="I13" s="109"/>
      <c r="J13" s="109">
        <v>8719533</v>
      </c>
      <c r="K13" s="110">
        <v>8668899.4886550922</v>
      </c>
      <c r="L13" s="110"/>
      <c r="M13" s="289"/>
      <c r="N13" s="290"/>
      <c r="O13" s="109"/>
      <c r="P13" s="109">
        <v>5653561</v>
      </c>
      <c r="Q13" s="110">
        <v>5714513.5713449055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893159</v>
      </c>
      <c r="K14" s="110">
        <v>896105.06471832632</v>
      </c>
      <c r="L14" s="110"/>
      <c r="M14" s="288"/>
      <c r="N14" s="291"/>
      <c r="O14" s="109"/>
      <c r="P14" s="109">
        <v>596565</v>
      </c>
      <c r="Q14" s="110">
        <v>599887.52528167365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v>636</v>
      </c>
      <c r="K15" s="110">
        <v>636</v>
      </c>
      <c r="L15" s="110"/>
      <c r="M15" s="288"/>
      <c r="N15" s="294"/>
      <c r="O15" s="109"/>
      <c r="P15" s="109">
        <v>404</v>
      </c>
      <c r="Q15" s="110">
        <v>404</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5997</v>
      </c>
      <c r="K17" s="288"/>
      <c r="L17" s="291"/>
      <c r="M17" s="291"/>
      <c r="N17" s="291"/>
      <c r="O17" s="292"/>
      <c r="P17" s="109">
        <v>-46629</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7818.0000000000009</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1821</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42828</v>
      </c>
      <c r="K22" s="115">
        <f>'Pt 2 Premium and Claims'!K$55</f>
        <v>43059.32</v>
      </c>
      <c r="L22" s="115">
        <f>'Pt 2 Premium and Claims'!L$55</f>
        <v>0</v>
      </c>
      <c r="M22" s="115">
        <f>'Pt 2 Premium and Claims'!M$55</f>
        <v>0</v>
      </c>
      <c r="N22" s="115">
        <f>'Pt 2 Premium and Claims'!N$55</f>
        <v>0</v>
      </c>
      <c r="O22" s="114">
        <f>'Pt 2 Premium and Claims'!O$55</f>
        <v>0</v>
      </c>
      <c r="P22" s="114">
        <f>'Pt 2 Premium and Claims'!P$55</f>
        <v>45619</v>
      </c>
      <c r="Q22" s="115">
        <f>'Pt 2 Premium and Claims'!Q$55</f>
        <v>45784.88</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-677383.86719999998</v>
      </c>
      <c r="K25" s="110">
        <v>-498354.65613081271</v>
      </c>
      <c r="L25" s="110">
        <v>179029.21106918729</v>
      </c>
      <c r="M25" s="110"/>
      <c r="N25" s="110"/>
      <c r="O25" s="109"/>
      <c r="P25" s="109">
        <v>-740299.77410000004</v>
      </c>
      <c r="Q25" s="110">
        <v>-712780.1823079749</v>
      </c>
      <c r="R25" s="110">
        <v>27519.591792025098</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-1.4531855999999999E-2</v>
      </c>
      <c r="AU25" s="113"/>
      <c r="AV25" s="113"/>
      <c r="AW25" s="318"/>
    </row>
    <row r="26" spans="1:49" s="5" customFormat="1" x14ac:dyDescent="0.2">
      <c r="A26" s="35"/>
      <c r="B26" s="158" t="s">
        <v>243</v>
      </c>
      <c r="C26" s="62"/>
      <c r="D26" s="109"/>
      <c r="E26" s="110"/>
      <c r="F26" s="110"/>
      <c r="G26" s="110"/>
      <c r="H26" s="110"/>
      <c r="I26" s="109"/>
      <c r="J26" s="109"/>
      <c r="K26" s="110">
        <v>22488.923647688192</v>
      </c>
      <c r="L26" s="110">
        <v>3576.6336476881929</v>
      </c>
      <c r="M26" s="110"/>
      <c r="N26" s="110"/>
      <c r="O26" s="109"/>
      <c r="P26" s="109"/>
      <c r="Q26" s="110">
        <v>15655.491686096135</v>
      </c>
      <c r="R26" s="110">
        <v>2583.8716860961358</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473520.96</v>
      </c>
      <c r="K27" s="110">
        <v>561522.10510707169</v>
      </c>
      <c r="L27" s="110">
        <v>88001.145107071672</v>
      </c>
      <c r="M27" s="110"/>
      <c r="N27" s="110"/>
      <c r="O27" s="109"/>
      <c r="P27" s="109">
        <v>321911.93</v>
      </c>
      <c r="Q27" s="110">
        <v>391164.26040911616</v>
      </c>
      <c r="R27" s="110">
        <v>69252.330409116155</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562897.1100000001</v>
      </c>
      <c r="K28" s="110">
        <v>96632.212529756711</v>
      </c>
      <c r="L28" s="110">
        <v>14830.922529756723</v>
      </c>
      <c r="M28" s="110"/>
      <c r="N28" s="110"/>
      <c r="O28" s="109"/>
      <c r="P28" s="109">
        <v>423715.69999999995</v>
      </c>
      <c r="Q28" s="110">
        <v>73533.981945403328</v>
      </c>
      <c r="R28" s="110">
        <v>11918.101945403332</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-48138.223000000005</v>
      </c>
      <c r="K30" s="110">
        <v>-15952.347007942453</v>
      </c>
      <c r="L30" s="110">
        <v>12717.805992057552</v>
      </c>
      <c r="M30" s="110"/>
      <c r="N30" s="110"/>
      <c r="O30" s="109"/>
      <c r="P30" s="109">
        <v>-53949.427069999983</v>
      </c>
      <c r="Q30" s="110">
        <v>-35211.439521147338</v>
      </c>
      <c r="R30" s="110">
        <v>4520.0375488526497</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2118624.77</v>
      </c>
      <c r="K31" s="110">
        <v>2243891.5519549069</v>
      </c>
      <c r="L31" s="110">
        <v>125266.78195490701</v>
      </c>
      <c r="M31" s="110"/>
      <c r="N31" s="110"/>
      <c r="O31" s="109"/>
      <c r="P31" s="109">
        <v>1459328.44</v>
      </c>
      <c r="Q31" s="110">
        <v>1555297.3741205251</v>
      </c>
      <c r="R31" s="110">
        <v>95968.934120525126</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v>625319.55596313241</v>
      </c>
      <c r="L34" s="110">
        <v>97740.285963132439</v>
      </c>
      <c r="M34" s="110"/>
      <c r="N34" s="110"/>
      <c r="O34" s="109"/>
      <c r="P34" s="109"/>
      <c r="Q34" s="110">
        <v>482875.13650471915</v>
      </c>
      <c r="R34" s="110">
        <v>81984.886504719136</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22174.84</v>
      </c>
      <c r="K35" s="110">
        <v>29835.336186625973</v>
      </c>
      <c r="L35" s="110">
        <v>4794.6161866259727</v>
      </c>
      <c r="M35" s="110"/>
      <c r="N35" s="110"/>
      <c r="O35" s="109"/>
      <c r="P35" s="109">
        <v>16643.059999999998</v>
      </c>
      <c r="Q35" s="110">
        <v>19972.197632977401</v>
      </c>
      <c r="R35" s="110">
        <v>3329.1776329774002</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156543</v>
      </c>
      <c r="K37" s="118">
        <v>172645.66999999998</v>
      </c>
      <c r="L37" s="118">
        <v>16103.820000000003</v>
      </c>
      <c r="M37" s="118"/>
      <c r="N37" s="118"/>
      <c r="O37" s="117"/>
      <c r="P37" s="117">
        <v>111425</v>
      </c>
      <c r="Q37" s="118">
        <v>122791.73000000001</v>
      </c>
      <c r="R37" s="118">
        <v>11366.689999999999</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59387</v>
      </c>
      <c r="K38" s="110">
        <v>70931.209999999992</v>
      </c>
      <c r="L38" s="110">
        <v>11544.390000000001</v>
      </c>
      <c r="M38" s="110"/>
      <c r="N38" s="110"/>
      <c r="O38" s="109"/>
      <c r="P38" s="109">
        <v>40724</v>
      </c>
      <c r="Q38" s="110">
        <v>48804.820000000007</v>
      </c>
      <c r="R38" s="110">
        <v>8080.91</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69048</v>
      </c>
      <c r="K39" s="110">
        <v>71627.37</v>
      </c>
      <c r="L39" s="110">
        <v>2579.4600000000005</v>
      </c>
      <c r="M39" s="110"/>
      <c r="N39" s="110"/>
      <c r="O39" s="109"/>
      <c r="P39" s="109">
        <v>43579</v>
      </c>
      <c r="Q39" s="110">
        <v>45429.36</v>
      </c>
      <c r="R39" s="110">
        <v>1850.73</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451178</v>
      </c>
      <c r="K40" s="110">
        <v>459349.07999999996</v>
      </c>
      <c r="L40" s="110">
        <v>8171.84</v>
      </c>
      <c r="M40" s="110"/>
      <c r="N40" s="110"/>
      <c r="O40" s="109"/>
      <c r="P40" s="109">
        <v>370259</v>
      </c>
      <c r="Q40" s="110">
        <v>375974.18</v>
      </c>
      <c r="R40" s="110">
        <v>5715.08</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38054</v>
      </c>
      <c r="K41" s="110">
        <v>45595.51999999999</v>
      </c>
      <c r="L41" s="110">
        <v>7541.5</v>
      </c>
      <c r="M41" s="110"/>
      <c r="N41" s="110"/>
      <c r="O41" s="109"/>
      <c r="P41" s="109">
        <v>27581</v>
      </c>
      <c r="Q41" s="110">
        <v>33231.22</v>
      </c>
      <c r="R41" s="110">
        <v>5650.2000000000007</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478105</v>
      </c>
      <c r="K44" s="118">
        <v>566863.10595282936</v>
      </c>
      <c r="L44" s="118">
        <v>88758.105952829341</v>
      </c>
      <c r="M44" s="118"/>
      <c r="N44" s="118"/>
      <c r="O44" s="117"/>
      <c r="P44" s="117">
        <v>429104</v>
      </c>
      <c r="Q44" s="118">
        <v>504326.19471364608</v>
      </c>
      <c r="R44" s="118">
        <v>75222.194713646095</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225480</v>
      </c>
      <c r="K45" s="110">
        <v>278634.47858667385</v>
      </c>
      <c r="L45" s="110">
        <v>53154.478586673838</v>
      </c>
      <c r="M45" s="110"/>
      <c r="N45" s="110"/>
      <c r="O45" s="109"/>
      <c r="P45" s="109">
        <v>174743</v>
      </c>
      <c r="Q45" s="110">
        <v>216644.06340819021</v>
      </c>
      <c r="R45" s="110">
        <v>41901.063408190224</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261464</v>
      </c>
      <c r="K46" s="110">
        <v>307477.77615281142</v>
      </c>
      <c r="L46" s="110">
        <v>46013.776152811406</v>
      </c>
      <c r="M46" s="110"/>
      <c r="N46" s="110"/>
      <c r="O46" s="109"/>
      <c r="P46" s="109">
        <v>209611</v>
      </c>
      <c r="Q46" s="110">
        <v>249840.32470978828</v>
      </c>
      <c r="R46" s="110">
        <v>40229.324709788292</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2351137</v>
      </c>
      <c r="K47" s="110">
        <v>2718916.8618348129</v>
      </c>
      <c r="L47" s="110">
        <v>367779.86183481303</v>
      </c>
      <c r="M47" s="110"/>
      <c r="N47" s="110"/>
      <c r="O47" s="109"/>
      <c r="P47" s="109">
        <v>1463274</v>
      </c>
      <c r="Q47" s="110">
        <v>1674912.384482295</v>
      </c>
      <c r="R47" s="110">
        <v>211638.38448229505</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310458.50300000003</v>
      </c>
      <c r="K49" s="110">
        <v>210909.45370045595</v>
      </c>
      <c r="L49" s="110">
        <v>-11819.359299544076</v>
      </c>
      <c r="M49" s="110"/>
      <c r="N49" s="110"/>
      <c r="O49" s="109"/>
      <c r="P49" s="109">
        <v>292626.19706999999</v>
      </c>
      <c r="Q49" s="110">
        <v>225336.2698976541</v>
      </c>
      <c r="R49" s="110">
        <v>-1209.9671723458928</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v>1213.4299999999998</v>
      </c>
      <c r="K50" s="110">
        <v>1453.535484638149</v>
      </c>
      <c r="L50" s="110">
        <v>240.10548463814916</v>
      </c>
      <c r="M50" s="110"/>
      <c r="N50" s="110"/>
      <c r="O50" s="109"/>
      <c r="P50" s="109">
        <v>931.03000000000009</v>
      </c>
      <c r="Q50" s="110">
        <v>1118.9138668007156</v>
      </c>
      <c r="R50" s="110">
        <v>187.88386680071545</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2418733</v>
      </c>
      <c r="K51" s="110">
        <v>2871613.8804878485</v>
      </c>
      <c r="L51" s="110">
        <v>452880.8804878486</v>
      </c>
      <c r="M51" s="110"/>
      <c r="N51" s="110"/>
      <c r="O51" s="109"/>
      <c r="P51" s="109">
        <v>1806509</v>
      </c>
      <c r="Q51" s="110">
        <v>2149549.603067535</v>
      </c>
      <c r="R51" s="110">
        <v>343040.60306753486</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6416</v>
      </c>
      <c r="K56" s="122">
        <v>6663</v>
      </c>
      <c r="L56" s="122"/>
      <c r="M56" s="122"/>
      <c r="N56" s="122"/>
      <c r="O56" s="121"/>
      <c r="P56" s="121">
        <v>3074</v>
      </c>
      <c r="Q56" s="122">
        <v>3183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10688</v>
      </c>
      <c r="K57" s="125">
        <v>11346</v>
      </c>
      <c r="L57" s="125">
        <v>1579</v>
      </c>
      <c r="M57" s="125"/>
      <c r="N57" s="125"/>
      <c r="O57" s="124"/>
      <c r="P57" s="124">
        <v>6244</v>
      </c>
      <c r="Q57" s="125">
        <v>6276</v>
      </c>
      <c r="R57" s="125">
        <v>748</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668</v>
      </c>
      <c r="K58" s="125">
        <v>668</v>
      </c>
      <c r="L58" s="125"/>
      <c r="M58" s="125"/>
      <c r="N58" s="125"/>
      <c r="O58" s="124"/>
      <c r="P58" s="124">
        <v>28</v>
      </c>
      <c r="Q58" s="125">
        <v>28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124571</v>
      </c>
      <c r="K59" s="125">
        <v>128553</v>
      </c>
      <c r="L59" s="125">
        <v>21127</v>
      </c>
      <c r="M59" s="125"/>
      <c r="N59" s="125"/>
      <c r="O59" s="124"/>
      <c r="P59" s="124">
        <v>89652</v>
      </c>
      <c r="Q59" s="125">
        <v>90753</v>
      </c>
      <c r="R59" s="125">
        <v>15213</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10380.916666666666</v>
      </c>
      <c r="K60" s="128">
        <f t="shared" si="0"/>
        <v>10712.75</v>
      </c>
      <c r="L60" s="128">
        <f t="shared" si="0"/>
        <v>1760.5833333333333</v>
      </c>
      <c r="M60" s="128">
        <f t="shared" si="0"/>
        <v>0</v>
      </c>
      <c r="N60" s="128">
        <f t="shared" si="0"/>
        <v>0</v>
      </c>
      <c r="O60" s="127">
        <f t="shared" si="0"/>
        <v>0</v>
      </c>
      <c r="P60" s="127">
        <f t="shared" si="0"/>
        <v>7471</v>
      </c>
      <c r="Q60" s="128">
        <f t="shared" si="0"/>
        <v>7562.75</v>
      </c>
      <c r="R60" s="128">
        <f t="shared" si="0"/>
        <v>1267.75</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0</v>
      </c>
      <c r="AT60" s="129">
        <f>AT$59/12</f>
        <v>0</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-3843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8880128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37031213</v>
      </c>
      <c r="K5" s="118">
        <v>44017152.443745598</v>
      </c>
      <c r="L5" s="118">
        <v>7182031.3700000001</v>
      </c>
      <c r="M5" s="118"/>
      <c r="N5" s="118"/>
      <c r="O5" s="117"/>
      <c r="P5" s="117">
        <v>27058092</v>
      </c>
      <c r="Q5" s="118">
        <v>32678265.994132902</v>
      </c>
      <c r="R5" s="118">
        <v>5303425.21</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0.3599999999969441</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v>0.47999999951571226</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-251013.94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29091830</v>
      </c>
      <c r="K23" s="288"/>
      <c r="L23" s="288"/>
      <c r="M23" s="288"/>
      <c r="N23" s="288"/>
      <c r="O23" s="292"/>
      <c r="P23" s="109">
        <v>22964237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652.75</v>
      </c>
      <c r="F24" s="110"/>
      <c r="G24" s="110"/>
      <c r="H24" s="110"/>
      <c r="I24" s="109"/>
      <c r="J24" s="293"/>
      <c r="K24" s="110">
        <v>33928445.349999994</v>
      </c>
      <c r="L24" s="110">
        <v>4195866.1500000004</v>
      </c>
      <c r="M24" s="110"/>
      <c r="N24" s="110"/>
      <c r="O24" s="109"/>
      <c r="P24" s="293"/>
      <c r="Q24" s="110">
        <v>26515391.520000007</v>
      </c>
      <c r="R24" s="110">
        <v>3351478.9499999997</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2333229</v>
      </c>
      <c r="K26" s="288"/>
      <c r="L26" s="288"/>
      <c r="M26" s="288"/>
      <c r="N26" s="288"/>
      <c r="O26" s="292"/>
      <c r="P26" s="109">
        <v>1748301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-652.75</v>
      </c>
      <c r="F27" s="110"/>
      <c r="G27" s="110"/>
      <c r="H27" s="110"/>
      <c r="I27" s="109"/>
      <c r="J27" s="293"/>
      <c r="K27" s="110">
        <v>376037.93761474511</v>
      </c>
      <c r="L27" s="110">
        <v>130251.16320000001</v>
      </c>
      <c r="M27" s="110"/>
      <c r="N27" s="110"/>
      <c r="O27" s="109"/>
      <c r="P27" s="293"/>
      <c r="Q27" s="110">
        <v>260791.12478525462</v>
      </c>
      <c r="R27" s="110">
        <v>89861.464200000002</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1966571</v>
      </c>
      <c r="K28" s="289"/>
      <c r="L28" s="289"/>
      <c r="M28" s="289"/>
      <c r="N28" s="289"/>
      <c r="O28" s="293"/>
      <c r="P28" s="109">
        <v>2564673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14535</v>
      </c>
      <c r="K30" s="288"/>
      <c r="L30" s="288"/>
      <c r="M30" s="288"/>
      <c r="N30" s="288"/>
      <c r="O30" s="292"/>
      <c r="P30" s="109">
        <v>4674</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14534.71</v>
      </c>
      <c r="L31" s="110"/>
      <c r="M31" s="110"/>
      <c r="N31" s="110"/>
      <c r="O31" s="109"/>
      <c r="P31" s="293"/>
      <c r="Q31" s="110">
        <v>-8055.4699999999975</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11229</v>
      </c>
      <c r="K32" s="289"/>
      <c r="L32" s="289"/>
      <c r="M32" s="289"/>
      <c r="N32" s="289"/>
      <c r="O32" s="293"/>
      <c r="P32" s="109">
        <v>1500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1821</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7818</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245434</v>
      </c>
      <c r="K49" s="110">
        <v>896105.06471832655</v>
      </c>
      <c r="L49" s="110"/>
      <c r="M49" s="110"/>
      <c r="N49" s="110"/>
      <c r="O49" s="109"/>
      <c r="P49" s="109">
        <v>69986</v>
      </c>
      <c r="Q49" s="110">
        <v>599887.52528167365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171311</v>
      </c>
      <c r="K50" s="289"/>
      <c r="L50" s="289"/>
      <c r="M50" s="289"/>
      <c r="N50" s="289"/>
      <c r="O50" s="293"/>
      <c r="P50" s="109">
        <v>99203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-165779</v>
      </c>
      <c r="L53" s="110">
        <v>1125140</v>
      </c>
      <c r="M53" s="110"/>
      <c r="N53" s="110"/>
      <c r="O53" s="109"/>
      <c r="P53" s="109"/>
      <c r="Q53" s="110">
        <v>-62533</v>
      </c>
      <c r="R53" s="110">
        <v>870511</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29381674</v>
      </c>
      <c r="K54" s="115">
        <f>K24+K27+K31+K35-K36+K39+K42+K45+K46-K49+K51+K52+K53</f>
        <v>33257133.932896413</v>
      </c>
      <c r="L54" s="115">
        <f>L24+L27+L31+L35-L36+L39+L42+L45+L46-L49+L51+L52+L53</f>
        <v>5451257.3132000007</v>
      </c>
      <c r="M54" s="115">
        <f>M24+M27+M31+M35-M36+M39+M42+M45+M46-M49+M51+M52+M53</f>
        <v>0</v>
      </c>
      <c r="N54" s="115">
        <f>N24+N27+N31+N35-N36+N39+N42+N45+N46-N49+N51+N52+N53</f>
        <v>0</v>
      </c>
      <c r="O54" s="114">
        <f>O24+O27+O31+O35-O36+O39+O42+O45+O46-O49+O51+O52+O53</f>
        <v>0</v>
      </c>
      <c r="P54" s="114">
        <f>P23+P26-P28+P30-P32+P34-P36+P38+P41-P43+P45+P46-P47-P49+P50+P51+P52+P53</f>
        <v>22180256</v>
      </c>
      <c r="Q54" s="115">
        <f>Q24+Q27+Q31+Q35-Q36+Q39+Q42+Q45+Q46-Q49+Q51+Q52+Q53</f>
        <v>26105706.649503589</v>
      </c>
      <c r="R54" s="115">
        <f>R24+R27+R31+R35-R36+R39+R42+R45+R46-R49+R51+R52+R53</f>
        <v>4311851.4141999995</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0</v>
      </c>
      <c r="AT54" s="116">
        <f>AT23+AT26-AT28+AT30-AT32+AT34-AT36+AT38+AT41-AT43+AT45+AT46-AT47-AT49+AT50+AT51+AT52+AT53</f>
        <v>0</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42828</v>
      </c>
      <c r="K55" s="115">
        <f t="shared" si="0"/>
        <v>43059.32</v>
      </c>
      <c r="L55" s="115">
        <f t="shared" si="0"/>
        <v>0</v>
      </c>
      <c r="M55" s="115">
        <f t="shared" si="0"/>
        <v>0</v>
      </c>
      <c r="N55" s="115">
        <f t="shared" si="0"/>
        <v>0</v>
      </c>
      <c r="O55" s="114">
        <f t="shared" si="0"/>
        <v>0</v>
      </c>
      <c r="P55" s="114">
        <f t="shared" si="0"/>
        <v>45619</v>
      </c>
      <c r="Q55" s="115">
        <f t="shared" si="0"/>
        <v>45784.88</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v>42828</v>
      </c>
      <c r="K56" s="110">
        <v>43059.32</v>
      </c>
      <c r="L56" s="110"/>
      <c r="M56" s="110"/>
      <c r="N56" s="110"/>
      <c r="O56" s="109"/>
      <c r="P56" s="109">
        <v>45619</v>
      </c>
      <c r="Q56" s="110">
        <v>45784.88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v>134767</v>
      </c>
      <c r="K57" s="110">
        <v>139065.32999999999</v>
      </c>
      <c r="L57" s="110"/>
      <c r="M57" s="110"/>
      <c r="N57" s="110"/>
      <c r="O57" s="109"/>
      <c r="P57" s="109">
        <v>55016</v>
      </c>
      <c r="Q57" s="110">
        <v>74192.03</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25794703.390000001</v>
      </c>
      <c r="I5" s="118">
        <v>29895004.58893932</v>
      </c>
      <c r="J5" s="346"/>
      <c r="K5" s="346"/>
      <c r="L5" s="312"/>
      <c r="M5" s="117">
        <v>24631150.280000001</v>
      </c>
      <c r="N5" s="118">
        <v>36461119.568760671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v>25733656.315286234</v>
      </c>
      <c r="I6" s="110">
        <v>29777648.397334751</v>
      </c>
      <c r="J6" s="115">
        <f>SUM('Pt 1 Summary of Data'!K$12,'Pt 1 Summary of Data'!K$22)+SUM('Pt 1 Summary of Data'!M$12,'Pt 1 Summary of Data'!M$22)-SUM('Pt 1 Summary of Data'!N$12,'Pt 1 Summary of Data'!N$22)</f>
        <v>33300193.252896413</v>
      </c>
      <c r="K6" s="115">
        <f>SUM(H6:J6)</f>
        <v>88811497.965517402</v>
      </c>
      <c r="L6" s="116">
        <f>SUM('Pt 1 Summary of Data'!O$12,'Pt 1 Summary of Data'!O$22)</f>
        <v>0</v>
      </c>
      <c r="M6" s="109">
        <v>24682557.964713767</v>
      </c>
      <c r="N6" s="110">
        <v>36183352.830965243</v>
      </c>
      <c r="O6" s="115">
        <f>SUM('Pt 1 Summary of Data'!Q$12,'Pt 1 Summary of Data'!Q$22)+SUM('Pt 1 Summary of Data'!S$12,'Pt 1 Summary of Data'!S$22)-SUM('Pt 1 Summary of Data'!T$12,'Pt 1 Summary of Data'!T$22)</f>
        <v>26151491.529503588</v>
      </c>
      <c r="P6" s="115">
        <f>SUM(M6:O6)</f>
        <v>87017402.325182602</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v>955252.7699999999</v>
      </c>
      <c r="I7" s="110">
        <v>866485.59999999986</v>
      </c>
      <c r="J7" s="115">
        <f>SUM('Pt 1 Summary of Data'!K$37:K$41)+SUM('Pt 1 Summary of Data'!M$37:M$41)-SUM('Pt 1 Summary of Data'!N$37:N$41)+MAX(0,MIN('Pt 1 Summary of Data'!K$42+'Pt 1 Summary of Data'!M$42-'Pt 1 Summary of Data'!N$42,0.3%*('Pt 1 Summary of Data'!K$5+'Pt 1 Summary of Data'!M$5-'Pt 1 Summary of Data'!N$5-SUM(J$10:J$11))))</f>
        <v>820148.85</v>
      </c>
      <c r="K7" s="115">
        <f>SUM(H7:J7)</f>
        <v>2641887.2199999997</v>
      </c>
      <c r="L7" s="116">
        <f>SUM('Pt 1 Summary of Data'!O$37:O$41)+MAX(0,MIN('Pt 1 Summary of Data'!O$42,0.3%*('Pt 1 Summary of Data'!O$5-L$10)))</f>
        <v>0</v>
      </c>
      <c r="M7" s="109">
        <v>690835.05999999994</v>
      </c>
      <c r="N7" s="110">
        <v>950474.14</v>
      </c>
      <c r="O7" s="115">
        <f>SUM('Pt 1 Summary of Data'!Q$37:Q$41)+SUM('Pt 1 Summary of Data'!S$37:S$41)-SUM('Pt 1 Summary of Data'!T$37:T$41)+MAX(0,MIN('Pt 1 Summary of Data'!Q$42+'Pt 1 Summary of Data'!S$42-'Pt 1 Summary of Data'!T$42,0.3%*('Pt 1 Summary of Data'!Q$5+'Pt 1 Summary of Data'!S$5-'Pt 1 Summary of Data'!T$5)))</f>
        <v>626231.31000000006</v>
      </c>
      <c r="P7" s="115">
        <f>SUM(M7:O7)</f>
        <v>2267540.5099999998</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-251013.94</v>
      </c>
      <c r="K10" s="115">
        <f>SUM(H10:J10)</f>
        <v>-251013.94</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26688909.085286234</v>
      </c>
      <c r="I12" s="115">
        <f>SUM(I$6:I$7)+IF(AND(OR('Company Information'!$C$12="District of Columbia",'Company Information'!$C$12="Massachusetts",'Company Information'!$C$12="Vermont"),SUM($H$6:$K$11,$H$15:$K$16,$H$37:$I$37)&lt;&gt;0),SUM(D$6:D$7),0)</f>
        <v>30644133.997334752</v>
      </c>
      <c r="J12" s="115">
        <f>SUM(J$6:J$7)-SUM(J$10:J$11)+IF(AND(OR('Company Information'!$C$12="District of Columbia",'Company Information'!$C$12="Massachusetts",'Company Information'!$C$12="Vermont"),SUM($H$6:$K$11,$H$15:$K$16,$H$37:$I$37)&lt;&gt;0),SUM(E$6:E$7)-SUM(E$8:E$11),0)</f>
        <v>34371356.042896412</v>
      </c>
      <c r="K12" s="115">
        <f>IFERROR(SUM(H$12:J$12)+H$17*MAX(0,J$49-H$49)+I$17*MAX(0,J$49-I$49),0)</f>
        <v>91704399.125517398</v>
      </c>
      <c r="L12" s="311"/>
      <c r="M12" s="114">
        <f>SUM(M$6:M$7)</f>
        <v>25373393.024713766</v>
      </c>
      <c r="N12" s="115">
        <f>SUM(N$6:N$7)</f>
        <v>37133826.970965244</v>
      </c>
      <c r="O12" s="115">
        <f>SUM(O$6:O$7)</f>
        <v>26777722.839503586</v>
      </c>
      <c r="P12" s="115">
        <f>SUM(M$12:O$12)+M$17*MAX(0,O$49-M$49)+N$17*MAX(0,O$49-N$49)</f>
        <v>89284942.835182592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v>36049164.539999999</v>
      </c>
      <c r="I15" s="118">
        <v>40317341.606547095</v>
      </c>
      <c r="J15" s="106">
        <f>SUM('Pt 1 Summary of Data'!K$5:K$7)+SUM('Pt 1 Summary of Data'!M$5:M$7)-SUM('Pt 1 Summary of Data'!N$5:N$7)-SUM(J$10:J$11)+I$55</f>
        <v>44256379.656909533</v>
      </c>
      <c r="K15" s="106">
        <f>SUM(H15:J15)</f>
        <v>120622885.80345663</v>
      </c>
      <c r="L15" s="107">
        <f>SUM('Pt 1 Summary of Data'!O$5:O$7)-L$10</f>
        <v>0</v>
      </c>
      <c r="M15" s="117">
        <v>34072441.769999996</v>
      </c>
      <c r="N15" s="118">
        <v>41137256.463287361</v>
      </c>
      <c r="O15" s="106">
        <f>SUM('Pt 1 Summary of Data'!Q$5:Q$7)+SUM('Pt 1 Summary of Data'!S$5:S$7)-SUM('Pt 1 Summary of Data'!T$5:T$7)+N$55</f>
        <v>32788411.944868535</v>
      </c>
      <c r="P15" s="106">
        <f>SUM(M15:O15)</f>
        <v>107998110.1781559</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v>2323538.61</v>
      </c>
      <c r="I16" s="110">
        <v>2694943.1385957361</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3082494.5754298689</v>
      </c>
      <c r="K16" s="115">
        <f>SUM(H16:J16)</f>
        <v>8100976.3240256049</v>
      </c>
      <c r="L16" s="116">
        <f>SUM('Pt 1 Summary of Data'!O$25:O$28,'Pt 1 Summary of Data'!O$30,'Pt 1 Summary of Data'!O$34:O$35)+IF('Company Information'!$C$15="No",IF(MAX('Pt 1 Summary of Data'!O$31:O$32)=0,MIN('Pt 1 Summary of Data'!O$31:O$32),MAX('Pt 1 Summary of Data'!O$31:O$32)),SUM('Pt 1 Summary of Data'!O$31:O$32))</f>
        <v>0</v>
      </c>
      <c r="M16" s="109">
        <v>2984820.69</v>
      </c>
      <c r="N16" s="110">
        <v>2007104.3712258355</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1796817.6442451521</v>
      </c>
      <c r="P16" s="115">
        <f>SUM(M16:O16)</f>
        <v>6788742.7054709876</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33725625.93</v>
      </c>
      <c r="I17" s="115">
        <f>I$15-I$16+IF(AND(OR('Company Information'!$C$12="District of Columbia",'Company Information'!$C$12="Massachusetts",'Company Information'!$C$12="Vermont"),SUM($H$6:$K$11,$H$15:$K$16,$H$37:$I$37)&lt;&gt;0),D$15-D$16,0)</f>
        <v>37622398.467951357</v>
      </c>
      <c r="J17" s="115">
        <f>J$15-J$16+IF(AND(OR('Company Information'!$C$12="District of Columbia",'Company Information'!$C$12="Massachusetts",'Company Information'!$C$12="Vermont"),SUM($H$6:$K$11,$H$15:$K$16,$H$37:$I$37)&lt;&gt;0),E$15-E$16,0)</f>
        <v>41173885.081479661</v>
      </c>
      <c r="K17" s="115">
        <f>K$15-K$16+IF(AND(OR('Company Information'!$C$12="District of Columbia",'Company Information'!$C$12="Massachusetts",'Company Information'!$C$12="Vermont"),SUM($H$6:$K$11,$H$15:$K$16,$H$37:$I$37)&lt;&gt;0),F$15-F$16,0)</f>
        <v>112521909.47943103</v>
      </c>
      <c r="L17" s="314"/>
      <c r="M17" s="114">
        <f>M$15-M$16</f>
        <v>31087621.079999994</v>
      </c>
      <c r="N17" s="115">
        <f>N$15-N$16</f>
        <v>39130152.092061527</v>
      </c>
      <c r="O17" s="115">
        <f>O$15-O$16</f>
        <v>30991594.300623383</v>
      </c>
      <c r="P17" s="115">
        <f>P$15-P$16</f>
        <v>101209367.4726849</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v>9022.0833333333339</v>
      </c>
      <c r="I37" s="122">
        <v>9871</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10712.75</v>
      </c>
      <c r="K37" s="256">
        <f>SUM(H$37:J$37)+IF(AND(OR('Company Information'!$C$12="District of Columbia",'Company Information'!$C$12="Massachusetts",'Company Information'!$C$12="Vermont"),SUM($H$6:$K$11,$H$15:$K$16,$H$37:$I$37)&lt;&gt;0,SUM(H$37:I$37)&lt;&gt;SUM(C$37:D$37)),SUM(C$37:D$37),0)</f>
        <v>29605.833333333336</v>
      </c>
      <c r="L37" s="312"/>
      <c r="M37" s="121">
        <v>7955.416666666667</v>
      </c>
      <c r="N37" s="122">
        <v>9875</v>
      </c>
      <c r="O37" s="256">
        <f>('Pt 1 Summary of Data'!Q$59+'Pt 1 Summary of Data'!S$59-'Pt 1 Summary of Data'!T$59)/12</f>
        <v>7562.75</v>
      </c>
      <c r="P37" s="256">
        <f>SUM(M$37:O$37)</f>
        <v>25393.166666666668</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1.5263066666666667E-2</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1.5937093333333333E-2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 ca="1">IF(OR(K$37&lt;1000,K$37&gt;=75000),0,K$38*K$40)</f>
        <v>1.5263066666666667E-2</v>
      </c>
      <c r="L41" s="311"/>
      <c r="M41" s="292"/>
      <c r="N41" s="288"/>
      <c r="O41" s="288"/>
      <c r="P41" s="260">
        <f ca="1">IF(OR(P$37&lt;1000,P$37&gt;=75000),0,P$38*P$40)</f>
        <v>1.5937093333333333E-2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f>IF(OR(H$37&lt;1000,H$17&lt;=0),"",H$12/H$17)</f>
        <v>0.79135400305634107</v>
      </c>
      <c r="I44" s="260">
        <f>IF(OR(I$37&lt;1000,I$17&lt;=0),"",I$12/I$17)</f>
        <v>0.81451835197160438</v>
      </c>
      <c r="J44" s="260">
        <f>IF(OR(J$37&lt;1000,J$17&lt;=0),"",J$12/J$17)</f>
        <v>0.8347853493756634</v>
      </c>
      <c r="K44" s="260">
        <f>IF(OR(K$37&lt;1000,K$17&lt;=0),"",K$12/K$17)</f>
        <v>0.81499149409903082</v>
      </c>
      <c r="L44" s="311"/>
      <c r="M44" s="262">
        <f>IF(OR(M$37&lt;1000,M$17&lt;=0),"",M$12/M$17)</f>
        <v>0.81618960033701526</v>
      </c>
      <c r="N44" s="260">
        <f>IF(OR(N$37&lt;1000,N$17&lt;=0),"",N$12/N$17)</f>
        <v>0.94898243389395653</v>
      </c>
      <c r="O44" s="260">
        <f>IF(OR(O$37&lt;1000,O$17&lt;=0),"",O$12/O$17)</f>
        <v>0.86403179454904533</v>
      </c>
      <c r="P44" s="260">
        <f>IF(OR(P$37&lt;1000,P$17&lt;=0),"",P$12/P$17)</f>
        <v>0.88218062284876386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f ca="1">IF(K$44="","",K$41)</f>
        <v>1.5263066666666667E-2</v>
      </c>
      <c r="L46" s="311"/>
      <c r="M46" s="292"/>
      <c r="N46" s="288"/>
      <c r="O46" s="288"/>
      <c r="P46" s="260">
        <f ca="1">IF(P$44="","",P$41)</f>
        <v>1.5937093333333333E-2</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f ca="1">IF(K$44="","",ROUND(K$44+MAX(0,K$46),3))</f>
        <v>0.83</v>
      </c>
      <c r="L47" s="311"/>
      <c r="M47" s="292"/>
      <c r="N47" s="288"/>
      <c r="O47" s="288"/>
      <c r="P47" s="260">
        <f ca="1">IF(P$44="","",ROUND(P$44+MAX(0,P$46),3))</f>
        <v>0.89800000000000002</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2059</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f ca="1">K$47</f>
        <v>0.83</v>
      </c>
      <c r="L50" s="311"/>
      <c r="M50" s="293"/>
      <c r="N50" s="289"/>
      <c r="O50" s="289"/>
      <c r="P50" s="260">
        <f ca="1">P$47</f>
        <v>0.89800000000000002</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f>IF(K$37&lt;1000,"",MAX(0,J$15-J$16))</f>
        <v>41173885.081479661</v>
      </c>
      <c r="L51" s="311"/>
      <c r="M51" s="292"/>
      <c r="N51" s="288"/>
      <c r="O51" s="288"/>
      <c r="P51" s="115">
        <f>IF(P$37&lt;1000,"",MAX(0,O$15-O$16))</f>
        <v>30991594.300623383</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 ca="1">IF(OR(K$37&lt;1000,K$17&lt;=0),0,MAX(0,K$49-K$50)*K$51)</f>
        <v>0</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256409.68648399983</v>
      </c>
      <c r="J55" s="288"/>
      <c r="K55" s="288"/>
      <c r="L55" s="311"/>
      <c r="M55" s="292"/>
      <c r="N55" s="110">
        <v>129548.27920137739</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17111.893179442148</v>
      </c>
      <c r="J56" s="288"/>
      <c r="K56" s="288"/>
      <c r="L56" s="311"/>
      <c r="M56" s="292"/>
      <c r="N56" s="110">
        <v>6310.8237754370157</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6663</v>
      </c>
      <c r="E4" s="149">
        <f>'Pt 1 Summary of Data'!$Q$56+'Pt 1 Summary of Data'!$S$56-'Pt 1 Summary of Data'!$T$56</f>
        <v>3183</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 ca="1">'Pt 3 MLR and Rebate Calculation'!$K$52</f>
        <v>0</v>
      </c>
      <c r="E11" s="119">
        <f ca="1">'Pt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2015-07-23T00:40:54Z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