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K4" i="16"/>
  <c r="H4" i="16"/>
  <c r="G4" i="16"/>
  <c r="F4" i="16"/>
  <c r="E4" i="16"/>
  <c r="D4" i="16"/>
  <c r="C4" i="16"/>
  <c r="AN52" i="10"/>
  <c r="AB52" i="10"/>
  <c r="H11" i="16" s="1"/>
  <c r="X52" i="10"/>
  <c r="G11" i="16" s="1"/>
  <c r="T52" i="10"/>
  <c r="F11" i="16" s="1"/>
  <c r="AN51" i="10"/>
  <c r="AB51" i="10"/>
  <c r="X51" i="10"/>
  <c r="T51" i="10"/>
  <c r="P51" i="10"/>
  <c r="K51" i="10"/>
  <c r="F51" i="10"/>
  <c r="AN50" i="10"/>
  <c r="AN47" i="10"/>
  <c r="AN46" i="10"/>
  <c r="AN45" i="10"/>
  <c r="AM45" i="10"/>
  <c r="AL45" i="10"/>
  <c r="AB45" i="10"/>
  <c r="AB46" i="10" s="1"/>
  <c r="AA45" i="10"/>
  <c r="Z45" i="10"/>
  <c r="Y45" i="10"/>
  <c r="X45" i="10"/>
  <c r="X46" i="10" s="1"/>
  <c r="W45" i="10"/>
  <c r="V45" i="10"/>
  <c r="U45" i="10"/>
  <c r="T45" i="10"/>
  <c r="T47" i="10" s="1"/>
  <c r="T50" i="10" s="1"/>
  <c r="S45" i="10"/>
  <c r="R45" i="10"/>
  <c r="Q45" i="10"/>
  <c r="O44" i="10"/>
  <c r="N44" i="10"/>
  <c r="M44" i="10"/>
  <c r="J44" i="10"/>
  <c r="I44" i="10"/>
  <c r="H44" i="10"/>
  <c r="E44" i="10"/>
  <c r="D44" i="10"/>
  <c r="C44" i="10"/>
  <c r="AN41" i="10"/>
  <c r="AB41" i="10"/>
  <c r="X41" i="10"/>
  <c r="T41" i="10"/>
  <c r="P41" i="10"/>
  <c r="K41" i="10"/>
  <c r="AN40" i="10"/>
  <c r="AB40" i="10"/>
  <c r="X40" i="10"/>
  <c r="T40" i="10"/>
  <c r="P40" i="10"/>
  <c r="K40" i="10"/>
  <c r="F40" i="10"/>
  <c r="AN38" i="10"/>
  <c r="AB38" i="10"/>
  <c r="X38" i="10"/>
  <c r="T38" i="10"/>
  <c r="P38" i="10"/>
  <c r="K38" i="10"/>
  <c r="F38" i="10"/>
  <c r="AN37" i="10"/>
  <c r="AM37" i="10"/>
  <c r="AN16" i="10" s="1"/>
  <c r="AB37" i="10"/>
  <c r="AA37" i="10"/>
  <c r="X37" i="10"/>
  <c r="W37" i="10"/>
  <c r="T37" i="10"/>
  <c r="S37" i="10"/>
  <c r="P37" i="10"/>
  <c r="O37" i="10"/>
  <c r="K37" i="10"/>
  <c r="J37" i="10"/>
  <c r="F37" i="10"/>
  <c r="E37" i="10"/>
  <c r="L29" i="10"/>
  <c r="L28" i="10"/>
  <c r="L25" i="10"/>
  <c r="L24" i="10"/>
  <c r="L21" i="10"/>
  <c r="L20" i="10"/>
  <c r="L19" i="10"/>
  <c r="AM17" i="10"/>
  <c r="AL17" i="10"/>
  <c r="AB17" i="10"/>
  <c r="AA17" i="10"/>
  <c r="Z17" i="10"/>
  <c r="Y17" i="10"/>
  <c r="X17" i="10"/>
  <c r="W17" i="10"/>
  <c r="V17" i="10"/>
  <c r="U17" i="10"/>
  <c r="T17" i="10"/>
  <c r="S17" i="10"/>
  <c r="R17" i="10"/>
  <c r="Q17" i="10"/>
  <c r="P17" i="10"/>
  <c r="O17" i="10"/>
  <c r="N17" i="10"/>
  <c r="M17" i="10"/>
  <c r="K17" i="10"/>
  <c r="J17" i="10"/>
  <c r="I17" i="10"/>
  <c r="H17" i="10"/>
  <c r="F17" i="10"/>
  <c r="E17" i="10"/>
  <c r="D17" i="10"/>
  <c r="C17" i="10"/>
  <c r="AM16" i="10"/>
  <c r="AB16" i="10"/>
  <c r="AA16" i="10"/>
  <c r="X16" i="10"/>
  <c r="W16" i="10"/>
  <c r="V13" i="10" s="1"/>
  <c r="T16" i="10"/>
  <c r="Q13" i="10" s="1"/>
  <c r="S16" i="10"/>
  <c r="P16" i="10"/>
  <c r="O16" i="10"/>
  <c r="L16" i="10"/>
  <c r="K16" i="10"/>
  <c r="J16" i="10"/>
  <c r="G16" i="10"/>
  <c r="F16" i="10"/>
  <c r="E12" i="10" s="1"/>
  <c r="E16" i="10"/>
  <c r="D12" i="10" s="1"/>
  <c r="AM15" i="10"/>
  <c r="AB15" i="10"/>
  <c r="AA15" i="10"/>
  <c r="X15" i="10"/>
  <c r="W15" i="10"/>
  <c r="T15" i="10"/>
  <c r="S13" i="10" s="1"/>
  <c r="S15" i="10"/>
  <c r="R13" i="10" s="1"/>
  <c r="P15" i="10"/>
  <c r="O15" i="10"/>
  <c r="L15" i="10"/>
  <c r="K15" i="10"/>
  <c r="I12" i="10" s="1"/>
  <c r="J15" i="10"/>
  <c r="G15" i="10"/>
  <c r="F15" i="10"/>
  <c r="E15" i="10"/>
  <c r="AM13" i="10"/>
  <c r="AL13" i="10"/>
  <c r="AB13" i="10"/>
  <c r="AA13" i="10"/>
  <c r="Z13" i="10"/>
  <c r="Y13" i="10"/>
  <c r="P12" i="10"/>
  <c r="P44" i="10" s="1"/>
  <c r="O12" i="10"/>
  <c r="N12" i="10"/>
  <c r="M12" i="10"/>
  <c r="J12" i="10"/>
  <c r="K11" i="10"/>
  <c r="J11" i="10"/>
  <c r="F11" i="10"/>
  <c r="E11" i="10"/>
  <c r="L10" i="10"/>
  <c r="K10" i="10"/>
  <c r="J10" i="10"/>
  <c r="G10" i="10"/>
  <c r="F10" i="10"/>
  <c r="E10" i="10"/>
  <c r="G9" i="10"/>
  <c r="F9" i="10"/>
  <c r="E9" i="10"/>
  <c r="F8" i="10"/>
  <c r="AM7" i="10"/>
  <c r="AB7" i="10"/>
  <c r="AA7" i="10"/>
  <c r="X7" i="10"/>
  <c r="W7" i="10"/>
  <c r="T7" i="10"/>
  <c r="S7" i="10"/>
  <c r="P7" i="10"/>
  <c r="O7" i="10"/>
  <c r="L7" i="10"/>
  <c r="J7" i="10"/>
  <c r="K7" i="10" s="1"/>
  <c r="G7" i="10"/>
  <c r="G25" i="10" s="1"/>
  <c r="E7" i="10"/>
  <c r="F7" i="10" s="1"/>
  <c r="AM6" i="10"/>
  <c r="AB6" i="10"/>
  <c r="AA6" i="10"/>
  <c r="X6" i="10"/>
  <c r="W6" i="10"/>
  <c r="T6" i="10"/>
  <c r="S6" i="10"/>
  <c r="P6" i="10"/>
  <c r="O6" i="10"/>
  <c r="L6" i="10"/>
  <c r="K6" i="10"/>
  <c r="J6" i="10"/>
  <c r="G6" i="10"/>
  <c r="F6" i="10"/>
  <c r="E6" i="10"/>
  <c r="AU55" i="18"/>
  <c r="AU22" i="4" s="1"/>
  <c r="AT55" i="18"/>
  <c r="AS55" i="18"/>
  <c r="AR55" i="18"/>
  <c r="AR22" i="4" s="1"/>
  <c r="AQ55" i="18"/>
  <c r="AQ22" i="4" s="1"/>
  <c r="AP55" i="18"/>
  <c r="AO55" i="18"/>
  <c r="AO22" i="4" s="1"/>
  <c r="AN55" i="18"/>
  <c r="AN22" i="4" s="1"/>
  <c r="AC55" i="18"/>
  <c r="AC22" i="4" s="1"/>
  <c r="AB55" i="18"/>
  <c r="AB22" i="4" s="1"/>
  <c r="AA55" i="18"/>
  <c r="Z55" i="18"/>
  <c r="Z22" i="4" s="1"/>
  <c r="Y55" i="18"/>
  <c r="X55" i="18"/>
  <c r="X22" i="4" s="1"/>
  <c r="W55" i="18"/>
  <c r="W22" i="4" s="1"/>
  <c r="V55" i="18"/>
  <c r="V22" i="4" s="1"/>
  <c r="U55" i="18"/>
  <c r="T55" i="18"/>
  <c r="T22" i="4" s="1"/>
  <c r="S55" i="18"/>
  <c r="S22" i="4" s="1"/>
  <c r="R55" i="18"/>
  <c r="R22" i="4" s="1"/>
  <c r="Q55" i="18"/>
  <c r="Q22" i="4" s="1"/>
  <c r="P55" i="18"/>
  <c r="P22" i="4" s="1"/>
  <c r="O55" i="18"/>
  <c r="O22" i="4" s="1"/>
  <c r="N55" i="18"/>
  <c r="N22" i="4" s="1"/>
  <c r="M55" i="18"/>
  <c r="M22" i="4" s="1"/>
  <c r="L55" i="18"/>
  <c r="L22" i="4" s="1"/>
  <c r="K55" i="18"/>
  <c r="K22" i="4" s="1"/>
  <c r="J55" i="18"/>
  <c r="J22" i="4" s="1"/>
  <c r="I55" i="18"/>
  <c r="H55" i="18"/>
  <c r="G55" i="18"/>
  <c r="G22" i="4" s="1"/>
  <c r="F55" i="18"/>
  <c r="F22" i="4" s="1"/>
  <c r="E55" i="18"/>
  <c r="E22" i="4" s="1"/>
  <c r="D55" i="18"/>
  <c r="D22" i="4" s="1"/>
  <c r="AU54" i="18"/>
  <c r="AU12" i="4" s="1"/>
  <c r="AT54" i="18"/>
  <c r="AT12" i="4" s="1"/>
  <c r="AS54" i="18"/>
  <c r="AR54" i="18"/>
  <c r="AR12" i="4" s="1"/>
  <c r="AQ54" i="18"/>
  <c r="AQ12" i="4" s="1"/>
  <c r="AP54" i="18"/>
  <c r="AO54" i="18"/>
  <c r="AO12" i="4" s="1"/>
  <c r="AN54" i="18"/>
  <c r="AN12" i="4" s="1"/>
  <c r="AC54" i="18"/>
  <c r="AB54" i="18"/>
  <c r="AB12" i="4" s="1"/>
  <c r="AA54" i="18"/>
  <c r="AA12" i="4" s="1"/>
  <c r="Z54" i="18"/>
  <c r="Y54" i="18"/>
  <c r="Y12" i="4" s="1"/>
  <c r="X54" i="18"/>
  <c r="W54" i="18"/>
  <c r="W12" i="4" s="1"/>
  <c r="V54" i="18"/>
  <c r="V12" i="4" s="1"/>
  <c r="U54" i="18"/>
  <c r="T54" i="18"/>
  <c r="T12" i="4" s="1"/>
  <c r="S54" i="18"/>
  <c r="S12" i="4" s="1"/>
  <c r="R54" i="18"/>
  <c r="R12" i="4" s="1"/>
  <c r="Q54" i="18"/>
  <c r="Q12" i="4" s="1"/>
  <c r="P54" i="18"/>
  <c r="P12" i="4" s="1"/>
  <c r="O54" i="18"/>
  <c r="N54" i="18"/>
  <c r="N12" i="4" s="1"/>
  <c r="M54" i="18"/>
  <c r="L54" i="18"/>
  <c r="K54" i="18"/>
  <c r="K12" i="4" s="1"/>
  <c r="J54" i="18"/>
  <c r="I54" i="18"/>
  <c r="I12" i="4" s="1"/>
  <c r="H54" i="18"/>
  <c r="H12" i="4" s="1"/>
  <c r="G54" i="18"/>
  <c r="G12" i="4" s="1"/>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P22" i="4"/>
  <c r="AA22" i="4"/>
  <c r="Y22" i="4"/>
  <c r="U22" i="4"/>
  <c r="I22" i="4"/>
  <c r="H22" i="4"/>
  <c r="AS12" i="4"/>
  <c r="AP12" i="4"/>
  <c r="AC12" i="4"/>
  <c r="Z12" i="4"/>
  <c r="X12" i="4"/>
  <c r="U12" i="4"/>
  <c r="O12" i="4"/>
  <c r="M12" i="4"/>
  <c r="L12" i="4"/>
  <c r="J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H5" i="4"/>
  <c r="G5" i="4"/>
  <c r="F5" i="4"/>
  <c r="E5" i="4"/>
  <c r="D5" i="4"/>
  <c r="G29" i="10" l="1"/>
  <c r="L23" i="10"/>
  <c r="L27" i="10" s="1"/>
  <c r="G28" i="10"/>
  <c r="G20" i="10"/>
  <c r="G19" i="10"/>
  <c r="G21" i="10"/>
  <c r="AB47" i="10"/>
  <c r="AB50" i="10" s="1"/>
  <c r="P46" i="10"/>
  <c r="P47" i="10"/>
  <c r="P50" i="10" s="1"/>
  <c r="P52" i="10" s="1"/>
  <c r="E11" i="16" s="1"/>
  <c r="X47" i="10"/>
  <c r="X50" i="10" s="1"/>
  <c r="T46" i="10"/>
  <c r="F41" i="10"/>
  <c r="AN7" i="10"/>
  <c r="AN6" i="10"/>
  <c r="AN13" i="10"/>
  <c r="AN15" i="10"/>
  <c r="AN17" i="10" s="1"/>
  <c r="T13" i="10"/>
  <c r="X13" i="10"/>
  <c r="U13" i="10"/>
  <c r="C12" i="10"/>
  <c r="W13" i="10"/>
  <c r="H12" i="10"/>
  <c r="K12" i="10" s="1"/>
  <c r="K44" i="10" s="1"/>
  <c r="F12" i="10"/>
  <c r="F44" i="10" s="1"/>
  <c r="L31" i="10" l="1"/>
  <c r="L32" i="10" s="1"/>
  <c r="L33" i="10" s="1"/>
  <c r="L26" i="10"/>
  <c r="L30" i="10" s="1"/>
  <c r="G24" i="10"/>
  <c r="G23" i="10" s="1"/>
  <c r="G27" i="10"/>
  <c r="K46" i="10"/>
  <c r="K47" i="10" s="1"/>
  <c r="K50" i="10" s="1"/>
  <c r="K52" i="10" s="1"/>
  <c r="D11" i="16" s="1"/>
  <c r="F46" i="10"/>
  <c r="F47" i="10" s="1"/>
  <c r="F50" i="10" s="1"/>
  <c r="F52" i="10" s="1"/>
  <c r="C11" i="16" s="1"/>
  <c r="G31" i="10" l="1"/>
  <c r="G32" i="10" s="1"/>
  <c r="G33" i="10" s="1"/>
  <c r="G26" i="10"/>
  <c r="G30" i="10" s="1"/>
</calcChain>
</file>

<file path=xl/sharedStrings.xml><?xml version="1.0" encoding="utf-8"?>
<sst xmlns="http://schemas.openxmlformats.org/spreadsheetml/2006/main" count="632" uniqueCount="532">
  <si>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</si>
  <si>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</si>
  <si>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</si>
  <si>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</si>
  <si>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</si>
  <si>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</si>
  <si>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</si>
  <si>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</si>
  <si>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</si>
  <si>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</si>
  <si>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</si>
  <si>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</si>
  <si>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</si>
  <si>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</si>
  <si>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</si>
  <si>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</si>
  <si>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</si>
  <si>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</si>
  <si>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</si>
  <si>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</si>
  <si>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</si>
  <si>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</si>
  <si>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</si>
  <si>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</si>
  <si>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</si>
  <si>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</si>
  <si>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</si>
  <si>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</si>
  <si>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</si>
  <si>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</si>
  <si>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</si>
  <si>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</si>
  <si>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</si>
  <si>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</si>
  <si>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</si>
  <si>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</si>
  <si>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</si>
  <si>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</si>
  <si>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</si>
  <si>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</si>
  <si>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</si>
  <si>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</si>
  <si>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</si>
  <si>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</si>
  <si>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</si>
  <si>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</si>
  <si>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</si>
  <si>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</si>
  <si>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</si>
  <si>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</si>
  <si>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</si>
  <si>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</si>
  <si>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</si>
  <si>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</si>
  <si>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</si>
  <si>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</si>
  <si>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</si>
  <si>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</si>
  <si>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</si>
  <si>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</si>
  <si>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</si>
  <si>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</si>
  <si>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</si>
  <si>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</si>
  <si>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</si>
  <si>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</si>
  <si>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</si>
  <si>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</si>
  <si>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</si>
  <si>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</si>
  <si>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</si>
  <si>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</si>
  <si>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</si>
  <si>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</si>
  <si>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</si>
  <si>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</si>
  <si>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</si>
  <si>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</si>
  <si>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</si>
  <si>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</si>
  <si>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</si>
  <si>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</si>
  <si>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</si>
  <si>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</si>
  <si>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</si>
  <si>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</si>
  <si>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</si>
  <si>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</si>
  <si>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</si>
  <si>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</si>
  <si>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</si>
  <si>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</si>
  <si>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</si>
  <si>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</si>
  <si>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</si>
  <si>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</si>
  <si>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</si>
  <si>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</si>
  <si>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</si>
  <si>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</si>
  <si>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</si>
  <si>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</si>
  <si>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</si>
  <si>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</si>
  <si>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</si>
  <si>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</si>
  <si>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</si>
  <si>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</si>
  <si>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</si>
  <si>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</si>
  <si>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</si>
  <si>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</si>
  <si>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</si>
  <si>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</si>
  <si>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</si>
  <si>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</si>
  <si>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</si>
  <si>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</si>
  <si>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</si>
  <si>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</si>
  <si>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</si>
  <si>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</si>
  <si>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</si>
  <si>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</si>
  <si>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</si>
  <si>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</si>
  <si>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</si>
  <si>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</si>
  <si>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</si>
  <si>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</si>
  <si>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</si>
  <si>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</si>
  <si>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</si>
  <si>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</si>
  <si>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</si>
  <si>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</si>
  <si>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</si>
  <si>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</si>
  <si>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</si>
  <si>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</si>
  <si>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</si>
  <si>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</si>
  <si>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</si>
  <si>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</si>
  <si>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</si>
  <si>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</si>
  <si>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</si>
  <si>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</si>
  <si>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</si>
  <si>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</si>
  <si>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</si>
  <si>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</si>
  <si>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</si>
  <si>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</si>
  <si>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</si>
  <si>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</si>
  <si>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</si>
  <si>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</si>
  <si>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</si>
  <si>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</si>
  <si>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</si>
  <si>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</si>
  <si>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</si>
  <si>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</si>
  <si>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</si>
  <si>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</si>
  <si>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</si>
  <si>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</si>
  <si>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</si>
  <si>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</si>
  <si>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</si>
  <si>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</si>
  <si>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</si>
  <si>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</si>
  <si>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</si>
  <si>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</si>
  <si>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</si>
  <si>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</si>
  <si>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</si>
  <si>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</si>
  <si>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</si>
  <si>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</si>
  <si>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</si>
  <si>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</si>
  <si>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</si>
  <si>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</si>
  <si>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</si>
  <si>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</si>
  <si>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</si>
  <si>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</si>
  <si>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</si>
  <si>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</si>
  <si>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</si>
  <si>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</si>
  <si>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</si>
  <si>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</si>
  <si>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</si>
  <si>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</si>
  <si>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</si>
  <si>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</si>
  <si>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</si>
  <si>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</si>
  <si>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</si>
  <si>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</si>
  <si>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</si>
  <si>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</si>
  <si>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</si>
  <si>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</si>
  <si>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</si>
  <si>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</si>
  <si>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</si>
  <si>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</si>
  <si>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</si>
  <si>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</si>
  <si>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</si>
  <si>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</si>
  <si>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</si>
  <si>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</si>
  <si>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</si>
  <si>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</si>
  <si>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</si>
  <si>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</si>
  <si>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</si>
  <si>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</si>
  <si>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</si>
  <si>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</si>
  <si>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</si>
  <si>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</si>
  <si>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</si>
  <si>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</si>
  <si>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</si>
  <si>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</si>
  <si>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</si>
  <si>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</si>
  <si>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</si>
  <si>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</si>
  <si>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</si>
  <si>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</si>
  <si>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</si>
  <si>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</si>
  <si>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</si>
  <si>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</si>
  <si>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</si>
  <si>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</si>
  <si>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</si>
  <si>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</si>
  <si>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</si>
  <si>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</si>
  <si>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</si>
  <si>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</si>
  <si>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</si>
  <si>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</si>
  <si>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</si>
  <si>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</si>
  <si>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</si>
  <si>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</si>
  <si>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</si>
  <si>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</si>
  <si>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</si>
  <si>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</si>
  <si>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</si>
  <si>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</si>
  <si>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</si>
  <si>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</si>
  <si>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</si>
  <si>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</si>
  <si>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</si>
  <si>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</si>
  <si>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</si>
  <si>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</si>
  <si>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</si>
  <si>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</si>
  <si>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</si>
  <si>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</si>
  <si>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</si>
  <si>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</si>
  <si>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</si>
  <si>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</si>
  <si>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</si>
  <si>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</si>
  <si>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</si>
  <si>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</si>
  <si>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</si>
  <si>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</si>
  <si>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</si>
  <si>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</si>
  <si>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</si>
  <si>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</si>
  <si>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</si>
  <si>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</si>
  <si>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</si>
  <si>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</si>
  <si>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</si>
  <si>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</si>
  <si>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</si>
  <si>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</si>
  <si>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</si>
  <si>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</si>
  <si>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</si>
  <si>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</si>
  <si>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</si>
  <si>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</si>
  <si>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</si>
  <si>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</si>
  <si>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</si>
  <si>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</si>
  <si>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</si>
  <si>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</si>
  <si>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</si>
  <si>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</si>
  <si>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</si>
  <si>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</si>
  <si>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</si>
  <si>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</si>
  <si>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</si>
  <si>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</si>
  <si>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</si>
  <si>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</si>
  <si>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</si>
  <si>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</si>
  <si>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</si>
  <si>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</si>
  <si>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</si>
  <si>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</si>
  <si>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</si>
  <si>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</si>
  <si>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</si>
  <si>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</si>
  <si>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</si>
  <si>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</si>
  <si>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</si>
  <si>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</si>
  <si>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</si>
  <si>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</si>
  <si>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</si>
  <si>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</si>
  <si>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</si>
  <si>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</si>
  <si>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</si>
  <si>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</si>
  <si>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</si>
  <si>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</si>
  <si>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</si>
  <si>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</si>
  <si>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</si>
  <si>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</si>
  <si>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</si>
  <si>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</si>
  <si>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</si>
  <si>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</si>
  <si>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</si>
  <si>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</si>
  <si>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</si>
  <si>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</si>
  <si>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</si>
  <si>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</si>
  <si>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</si>
  <si>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</si>
  <si>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</si>
  <si>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</si>
  <si>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</si>
  <si>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</si>
  <si>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</si>
  <si>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</si>
  <si>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</si>
  <si>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</si>
  <si>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</si>
  <si>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</si>
  <si>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</si>
  <si>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</si>
  <si>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</si>
  <si>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</si>
  <si>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</si>
  <si>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</si>
  <si>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</si>
  <si>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</si>
  <si>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</si>
  <si>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</si>
  <si>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</si>
  <si>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</si>
  <si>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</si>
  <si>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</si>
  <si>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</si>
  <si>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</si>
  <si>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</si>
  <si>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</si>
  <si>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</si>
  <si>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</si>
  <si>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</si>
  <si>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</si>
  <si>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</si>
  <si>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</si>
  <si>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</si>
  <si>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</si>
  <si>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</si>
  <si>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</si>
  <si>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</si>
  <si>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</si>
  <si>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</si>
  <si>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</si>
  <si>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</si>
  <si>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</si>
  <si>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</si>
  <si>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</si>
  <si>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</si>
  <si>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</si>
  <si>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</si>
  <si>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</si>
  <si>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</si>
  <si>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</si>
  <si>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</si>
  <si>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</si>
  <si>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</si>
  <si>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</si>
  <si>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</si>
  <si>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</si>
  <si>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</si>
  <si>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</si>
  <si>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</si>
  <si>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</si>
  <si>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</si>
  <si>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</si>
  <si>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</si>
  <si>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</si>
  <si>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</si>
  <si>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</si>
  <si>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</si>
  <si>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</si>
  <si>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</si>
  <si>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</si>
  <si>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</si>
  <si>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</si>
  <si>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</si>
  <si>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</si>
  <si>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</si>
  <si>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</si>
  <si>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</si>
  <si>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</si>
  <si>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</si>
  <si>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</si>
  <si>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</si>
  <si>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</si>
  <si>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</si>
  <si>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</si>
  <si>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</si>
  <si>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</si>
  <si>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</si>
  <si>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</si>
  <si>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</si>
  <si>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</si>
  <si>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</si>
  <si>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</si>
  <si>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</si>
  <si>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</si>
  <si>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</si>
  <si>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</si>
  <si>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</si>
  <si>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</si>
  <si>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</si>
  <si>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</si>
  <si>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</si>
  <si>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</si>
  <si>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</si>
  <si>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</si>
  <si>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</si>
  <si>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</si>
  <si>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</si>
  <si>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</si>
  <si>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</si>
  <si>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</si>
  <si>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</si>
  <si>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</si>
  <si>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</si>
  <si>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</si>
  <si>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</si>
  <si>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</si>
  <si>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</si>
  <si>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</si>
  <si>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</si>
  <si>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</si>
  <si>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</si>
  <si>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</si>
  <si>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</si>
  <si>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</si>
  <si>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</si>
  <si>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</si>
  <si>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</si>
  <si>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</si>
  <si>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</si>
  <si>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</si>
  <si>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</si>
  <si>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</si>
  <si>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</si>
  <si>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</si>
  <si>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Health Plan of Texas, Inc. </t>
  </si>
  <si>
    <t>HUMANA GRP</t>
  </si>
  <si>
    <t>Humana</t>
  </si>
  <si>
    <t>119</t>
  </si>
  <si>
    <t>2014</t>
  </si>
  <si>
    <t>1221 S. Mo Pac Expy, Suite 200 Austin, TX 78746-7625</t>
  </si>
  <si>
    <t>610994632</t>
  </si>
  <si>
    <t>095024</t>
  </si>
  <si>
    <t>95024</t>
  </si>
  <si>
    <t>217</t>
  </si>
  <si>
    <t>Humana Insurance Company</t>
  </si>
  <si>
    <t>Humana Employers Health Plan of Georgia, Inc.</t>
  </si>
  <si>
    <t>Humana Health Insurance Company of Florida, Inc.</t>
  </si>
  <si>
    <t>Humana Health Plan, Inc.</t>
  </si>
  <si>
    <t>Humana Insurance of Puerto Rico, Inc.</t>
  </si>
  <si>
    <t>Humana Medical Plan,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</si>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</sst>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186</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277907480</v>
      </c>
      <c r="E5" s="112">
        <f>SUM('Pt 2 Premium and Claims'!E$5,'Pt 2 Premium and Claims'!E$6,-'Pt 2 Premium and Claims'!E$7,-'Pt 2 Premium and Claims'!E$13,'Pt 2 Premium and Claims'!E$14:'Pt 2 Premium and Claims'!E$17)</f>
        <v>315544213.46681607</v>
      </c>
      <c r="F5" s="112">
        <f>SUM('Pt 2 Premium and Claims'!F$5,'Pt 2 Premium and Claims'!F$6,-'Pt 2 Premium and Claims'!F$7,-'Pt 2 Premium and Claims'!F$13,'Pt 2 Premium and Claims'!F$14:'Pt 2 Premium and Claims'!F$17)</f>
        <v>2782686.25</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257004733</v>
      </c>
      <c r="J5" s="111">
        <f>SUM('Pt 2 Premium and Claims'!J$5,'Pt 2 Premium and Claims'!J$6,-'Pt 2 Premium and Claims'!J$7,-'Pt 2 Premium and Claims'!J$13,'Pt 2 Premium and Claims'!J$14,'Pt 2 Premium and Claims'!J$16:'Pt 2 Premium and Claims'!J$17)</f>
        <v>453291567</v>
      </c>
      <c r="K5" s="112">
        <f>SUM('Pt 2 Premium and Claims'!K$5,'Pt 2 Premium and Claims'!K$6,-'Pt 2 Premium and Claims'!K$7,-'Pt 2 Premium and Claims'!K$13,'Pt 2 Premium and Claims'!K$14,'Pt 2 Premium and Claims'!K$16:'Pt 2 Premium and Claims'!K$17)</f>
        <v>544664447.01518142</v>
      </c>
      <c r="L5" s="112">
        <f>SUM('Pt 2 Premium and Claims'!L$5,'Pt 2 Premium and Claims'!L$6,-'Pt 2 Premium and Claims'!L$7,-'Pt 2 Premium and Claims'!L$13,'Pt 2 Premium and Claims'!L$14,'Pt 2 Premium and Claims'!L$16:'Pt 2 Premium and Claims'!L$17)</f>
        <v>102971069.94</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279672430</v>
      </c>
      <c r="Q5" s="112">
        <f>SUM('Pt 2 Premium and Claims'!Q$5,'Pt 2 Premium and Claims'!Q$6,-'Pt 2 Premium and Claims'!Q$7,-'Pt 2 Premium and Claims'!Q$13,'Pt 2 Premium and Claims'!Q$14)</f>
        <v>338259100.60391456</v>
      </c>
      <c r="R5" s="112">
        <f>SUM('Pt 2 Premium and Claims'!R$5,'Pt 2 Premium and Claims'!R$6,-'Pt 2 Premium and Claims'!R$7,-'Pt 2 Premium and Claims'!R$13,'Pt 2 Premium and Claims'!R$14)</f>
        <v>47753052.29999999</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f>SUM('Pt 2 Premium and Claims'!AN$5,'Pt 2 Premium and Claims'!AN$6,-'Pt 2 Premium and Claims'!AN$7,-'Pt 2 Premium and Claims'!AN$13,'Pt 2 Premium and Claims'!AN$14)</f>
        <v>0</v>
      </c>
      <c r="AO5" s="112">
        <f>SUM('Pt 2 Premium and Claims'!AO$5,'Pt 2 Premium and Claims'!AO$6,-'Pt 2 Premium and Claims'!AO$7,-'Pt 2 Premium and Claims'!AO$13,'Pt 2 Premium and Claims'!AO$14)</f>
        <v>0</v>
      </c>
      <c r="AP5" s="112">
        <f>SUM('Pt 2 Premium and Claims'!AP$5,'Pt 2 Premium and Claims'!AP$6,-'Pt 2 Premium and Claims'!AP$7,-'Pt 2 Premium and Claims'!AP$13,'Pt 2 Premium and Claims'!AP$14)</f>
        <v>0</v>
      </c>
      <c r="AQ5" s="112">
        <f>SUM('Pt 2 Premium and Claims'!AQ$5,'Pt 2 Premium and Claims'!AQ$6,-'Pt 2 Premium and Claims'!AQ$7,-'Pt 2 Premium and Claims'!AQ$13,'Pt 2 Premium and Claims'!AQ$14)</f>
        <v>0</v>
      </c>
      <c r="AR5" s="112">
        <f>SUM('Pt 2 Premium and Claims'!AR$5,'Pt 2 Premium and Claims'!AR$6,-'Pt 2 Premium and Claims'!AR$7,-'Pt 2 Premium and Claims'!AR$13,'Pt 2 Premium and Claims'!AR$14)</f>
        <v>0</v>
      </c>
      <c r="AS5" s="111">
        <f>SUM('Pt 2 Premium and Claims'!AS$5,'Pt 2 Premium and Claims'!AS$6,-'Pt 2 Premium and Claims'!AS$7,-'Pt 2 Premium and Claims'!AS$13,'Pt 2 Premium and Claims'!AS$14)</f>
        <v>832235865</v>
      </c>
      <c r="AT5" s="113">
        <f>SUM('Pt 2 Premium and Claims'!AT$5,'Pt 2 Premium and Claims'!AT$6,-'Pt 2 Premium and Claims'!AT$7,-'Pt 2 Premium and Claims'!AT$13,'Pt 2 Premium and Claims'!AT$14)</f>
        <v>1689163</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-5</v>
      </c>
      <c r="E7" s="116">
        <v>-4498.4274431655122</v>
      </c>
      <c r="F7" s="116">
        <v>-4493.4274431655122</v>
      </c>
      <c r="G7" s="116"/>
      <c r="H7" s="116"/>
      <c r="I7" s="115"/>
      <c r="J7" s="115">
        <v>-183347</v>
      </c>
      <c r="K7" s="116">
        <v>-378169.46877360693</v>
      </c>
      <c r="L7" s="116">
        <v>-194822.46877360693</v>
      </c>
      <c r="M7" s="116"/>
      <c r="N7" s="116"/>
      <c r="O7" s="115"/>
      <c r="P7" s="115">
        <v>-165145</v>
      </c>
      <c r="Q7" s="116">
        <v>-458983.22405211721</v>
      </c>
      <c r="R7" s="116">
        <v>-293838.22405211721</v>
      </c>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-3455468</v>
      </c>
      <c r="E8" s="295"/>
      <c r="F8" s="296"/>
      <c r="G8" s="296"/>
      <c r="H8" s="296"/>
      <c r="I8" s="299"/>
      <c r="J8" s="115">
        <v>-852540</v>
      </c>
      <c r="K8" s="295"/>
      <c r="L8" s="296"/>
      <c r="M8" s="296"/>
      <c r="N8" s="296"/>
      <c r="O8" s="299"/>
      <c r="P8" s="115">
        <v>-376221</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277716342</v>
      </c>
      <c r="E12" s="112">
        <f>'Pt 2 Premium and Claims'!E$54</f>
        <v>305803472.19859993</v>
      </c>
      <c r="F12" s="112">
        <f>'Pt 2 Premium and Claims'!F$54</f>
        <v>4813442.0209999997</v>
      </c>
      <c r="G12" s="112">
        <f>'Pt 2 Premium and Claims'!G$54</f>
        <v>0</v>
      </c>
      <c r="H12" s="112">
        <f>'Pt 2 Premium and Claims'!H$54</f>
        <v>0</v>
      </c>
      <c r="I12" s="111">
        <f>'Pt 2 Premium and Claims'!I$54</f>
        <v>305715188</v>
      </c>
      <c r="J12" s="111">
        <f>'Pt 2 Premium and Claims'!J$54</f>
        <v>337002077</v>
      </c>
      <c r="K12" s="112">
        <f>'Pt 2 Premium and Claims'!K$54</f>
        <v>422224250.26261133</v>
      </c>
      <c r="L12" s="112">
        <f>'Pt 2 Premium and Claims'!L$54</f>
        <v>80807436.087699994</v>
      </c>
      <c r="M12" s="112">
        <f>'Pt 2 Premium and Claims'!M$54</f>
        <v>0</v>
      </c>
      <c r="N12" s="112">
        <f>'Pt 2 Premium and Claims'!N$54</f>
        <v>0</v>
      </c>
      <c r="O12" s="111">
        <f>'Pt 2 Premium and Claims'!O$54</f>
        <v>0</v>
      </c>
      <c r="P12" s="111">
        <f>'Pt 2 Premium and Claims'!P$54</f>
        <v>239672950</v>
      </c>
      <c r="Q12" s="112">
        <f>'Pt 2 Premium and Claims'!Q$54</f>
        <v>293531214.06578863</v>
      </c>
      <c r="R12" s="112">
        <f>'Pt 2 Premium and Claims'!R$54</f>
        <v>42567009.067299999</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f>'Pt 2 Premium and Claims'!AN$54</f>
        <v>0</v>
      </c>
      <c r="AO12" s="112">
        <f>'Pt 2 Premium and Claims'!AO$54</f>
        <v>0</v>
      </c>
      <c r="AP12" s="112">
        <f>'Pt 2 Premium and Claims'!AP$54</f>
        <v>0</v>
      </c>
      <c r="AQ12" s="112">
        <f>'Pt 2 Premium and Claims'!AQ$54</f>
        <v>0</v>
      </c>
      <c r="AR12" s="112">
        <f>'Pt 2 Premium and Claims'!AR$54</f>
        <v>0</v>
      </c>
      <c r="AS12" s="111">
        <f>'Pt 2 Premium and Claims'!AS$54</f>
        <v>722494519</v>
      </c>
      <c r="AT12" s="113">
        <f>'Pt 2 Premium and Claims'!AT$54</f>
        <v>1043426</v>
      </c>
      <c r="AU12" s="113">
        <f>'Pt 2 Premium and Claims'!AU$54</f>
        <v>0</v>
      </c>
      <c r="AV12" s="318"/>
      <c r="AW12" s="323"/>
    </row>
    <row r="13" spans="1:49" ht="25.5" x14ac:dyDescent="0.2">
      <c r="B13" s="161" t="s">
        <v>230</v>
      </c>
      <c r="C13" s="68" t="s">
        <v>37</v>
      </c>
      <c r="D13" s="115">
        <v>32977108</v>
      </c>
      <c r="E13" s="116">
        <v>35455789.879999995</v>
      </c>
      <c r="F13" s="116"/>
      <c r="G13" s="295"/>
      <c r="H13" s="296"/>
      <c r="I13" s="115">
        <v>35455790</v>
      </c>
      <c r="J13" s="115">
        <v>87095787</v>
      </c>
      <c r="K13" s="116">
        <v>86595336.769320875</v>
      </c>
      <c r="L13" s="116"/>
      <c r="M13" s="295"/>
      <c r="N13" s="296"/>
      <c r="O13" s="115"/>
      <c r="P13" s="115">
        <v>57094208</v>
      </c>
      <c r="Q13" s="116">
        <v>57793359.460679136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95780201</v>
      </c>
      <c r="AT13" s="119"/>
      <c r="AU13" s="119"/>
      <c r="AV13" s="317"/>
      <c r="AW13" s="324"/>
    </row>
    <row r="14" spans="1:49" ht="25.5" x14ac:dyDescent="0.2">
      <c r="B14" s="161" t="s">
        <v>231</v>
      </c>
      <c r="C14" s="68" t="s">
        <v>6</v>
      </c>
      <c r="D14" s="115">
        <v>1500523</v>
      </c>
      <c r="E14" s="116">
        <v>1678318.98</v>
      </c>
      <c r="F14" s="116"/>
      <c r="G14" s="294"/>
      <c r="H14" s="297"/>
      <c r="I14" s="115">
        <v>1678316</v>
      </c>
      <c r="J14" s="115">
        <v>9601738</v>
      </c>
      <c r="K14" s="116">
        <v>9492346.7979890797</v>
      </c>
      <c r="L14" s="116"/>
      <c r="M14" s="294"/>
      <c r="N14" s="297"/>
      <c r="O14" s="115"/>
      <c r="P14" s="115">
        <v>5894233</v>
      </c>
      <c r="Q14" s="116">
        <v>5954220.4220109265</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25871727</v>
      </c>
      <c r="AT14" s="119"/>
      <c r="AU14" s="119"/>
      <c r="AV14" s="317"/>
      <c r="AW14" s="324"/>
    </row>
    <row r="15" spans="1:49" ht="38.25" x14ac:dyDescent="0.2">
      <c r="B15" s="161" t="s">
        <v>232</v>
      </c>
      <c r="C15" s="68" t="s">
        <v>7</v>
      </c>
      <c r="D15" s="115">
        <v>11140940</v>
      </c>
      <c r="E15" s="116">
        <v>11140940</v>
      </c>
      <c r="F15" s="116"/>
      <c r="G15" s="294"/>
      <c r="H15" s="300"/>
      <c r="I15" s="115">
        <v>6239</v>
      </c>
      <c r="J15" s="115">
        <v>12645424</v>
      </c>
      <c r="K15" s="116">
        <v>12645424</v>
      </c>
      <c r="L15" s="116"/>
      <c r="M15" s="294"/>
      <c r="N15" s="300"/>
      <c r="O15" s="115"/>
      <c r="P15" s="115">
        <v>7178198</v>
      </c>
      <c r="Q15" s="116">
        <v>7178198</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10343995</v>
      </c>
      <c r="AT15" s="119">
        <v>21113</v>
      </c>
      <c r="AU15" s="119"/>
      <c r="AV15" s="317"/>
      <c r="AW15" s="324"/>
    </row>
    <row r="16" spans="1:49" ht="25.5" x14ac:dyDescent="0.2">
      <c r="B16" s="161" t="s">
        <v>233</v>
      </c>
      <c r="C16" s="68" t="s">
        <v>61</v>
      </c>
      <c r="D16" s="115">
        <v>-61690316</v>
      </c>
      <c r="E16" s="295"/>
      <c r="F16" s="296"/>
      <c r="G16" s="297"/>
      <c r="H16" s="297"/>
      <c r="I16" s="299"/>
      <c r="J16" s="115">
        <v>8011092</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v>-6839003</v>
      </c>
      <c r="K17" s="294"/>
      <c r="L17" s="297"/>
      <c r="M17" s="297"/>
      <c r="N17" s="297"/>
      <c r="O17" s="298"/>
      <c r="P17" s="115">
        <v>4089000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66997</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296037</v>
      </c>
      <c r="E22" s="121">
        <f>'Pt 2 Premium and Claims'!E$55</f>
        <v>299590.69</v>
      </c>
      <c r="F22" s="121">
        <f>'Pt 2 Premium and Claims'!F$55</f>
        <v>0</v>
      </c>
      <c r="G22" s="121">
        <f>'Pt 2 Premium and Claims'!G$55</f>
        <v>0</v>
      </c>
      <c r="H22" s="121">
        <f>'Pt 2 Premium and Claims'!H$55</f>
        <v>0</v>
      </c>
      <c r="I22" s="120">
        <f>'Pt 2 Premium and Claims'!I$55</f>
        <v>296026</v>
      </c>
      <c r="J22" s="120">
        <f>'Pt 2 Premium and Claims'!J$55</f>
        <v>654525</v>
      </c>
      <c r="K22" s="121">
        <f>'Pt 2 Premium and Claims'!K$55</f>
        <v>657736.39</v>
      </c>
      <c r="L22" s="121">
        <f>'Pt 2 Premium and Claims'!L$55</f>
        <v>0</v>
      </c>
      <c r="M22" s="121">
        <f>'Pt 2 Premium and Claims'!M$55</f>
        <v>0</v>
      </c>
      <c r="N22" s="121">
        <f>'Pt 2 Premium and Claims'!N$55</f>
        <v>0</v>
      </c>
      <c r="O22" s="120">
        <f>'Pt 2 Premium and Claims'!O$55</f>
        <v>0</v>
      </c>
      <c r="P22" s="120">
        <f>'Pt 2 Premium and Claims'!P$55</f>
        <v>484286</v>
      </c>
      <c r="Q22" s="121">
        <f>'Pt 2 Premium and Claims'!Q$55</f>
        <v>485683.4</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f>'Pt 2 Premium and Claims'!AN$55</f>
        <v>0</v>
      </c>
      <c r="AO22" s="121">
        <f>'Pt 2 Premium and Claims'!AO$55</f>
        <v>0</v>
      </c>
      <c r="AP22" s="121">
        <f>'Pt 2 Premium and Claims'!AP$55</f>
        <v>0</v>
      </c>
      <c r="AQ22" s="121">
        <f>'Pt 2 Premium and Claims'!AQ$55</f>
        <v>0</v>
      </c>
      <c r="AR22" s="121">
        <f>'Pt 2 Premium and Claims'!AR$55</f>
        <v>0</v>
      </c>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12879042.689999999</v>
      </c>
      <c r="E25" s="116">
        <v>5300892.2999414317</v>
      </c>
      <c r="F25" s="116">
        <v>-112220.49005856877</v>
      </c>
      <c r="G25" s="116"/>
      <c r="H25" s="116"/>
      <c r="I25" s="115">
        <v>5235051</v>
      </c>
      <c r="J25" s="115">
        <v>4054140.7940000002</v>
      </c>
      <c r="K25" s="116">
        <v>7422479.4595374316</v>
      </c>
      <c r="L25" s="116">
        <v>3368338.6655374318</v>
      </c>
      <c r="M25" s="116"/>
      <c r="N25" s="116"/>
      <c r="O25" s="115"/>
      <c r="P25" s="115">
        <v>-4237038.6500000004</v>
      </c>
      <c r="Q25" s="116">
        <v>-5504494.0372549407</v>
      </c>
      <c r="R25" s="116">
        <v>-1267455.3872549401</v>
      </c>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11617933</v>
      </c>
      <c r="AT25" s="119">
        <v>90641.542199999996</v>
      </c>
      <c r="AU25" s="119"/>
      <c r="AV25" s="119"/>
      <c r="AW25" s="324"/>
    </row>
    <row r="26" spans="1:49" s="11" customFormat="1" x14ac:dyDescent="0.2">
      <c r="A26" s="41"/>
      <c r="B26" s="164" t="s">
        <v>243</v>
      </c>
      <c r="C26" s="68"/>
      <c r="D26" s="115"/>
      <c r="E26" s="116">
        <v>148076.19606594881</v>
      </c>
      <c r="F26" s="116">
        <v>2451.3960659488152</v>
      </c>
      <c r="G26" s="116"/>
      <c r="H26" s="116"/>
      <c r="I26" s="115">
        <v>147368</v>
      </c>
      <c r="J26" s="115"/>
      <c r="K26" s="116">
        <v>267870.09217029437</v>
      </c>
      <c r="L26" s="116">
        <v>46637.612170294422</v>
      </c>
      <c r="M26" s="116"/>
      <c r="N26" s="116"/>
      <c r="O26" s="115"/>
      <c r="P26" s="115"/>
      <c r="Q26" s="116">
        <v>148663.34753185438</v>
      </c>
      <c r="R26" s="116">
        <v>22436.337531854377</v>
      </c>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3441816.3699999996</v>
      </c>
      <c r="E27" s="116">
        <v>3479817.8838895867</v>
      </c>
      <c r="F27" s="116">
        <v>38001.513889586866</v>
      </c>
      <c r="G27" s="116"/>
      <c r="H27" s="116"/>
      <c r="I27" s="115">
        <v>3476291</v>
      </c>
      <c r="J27" s="115">
        <v>5728601.4999999991</v>
      </c>
      <c r="K27" s="116">
        <v>7002064.9525698973</v>
      </c>
      <c r="L27" s="116">
        <v>1273463.452569898</v>
      </c>
      <c r="M27" s="116"/>
      <c r="N27" s="116"/>
      <c r="O27" s="115"/>
      <c r="P27" s="115">
        <v>3329236.6899999995</v>
      </c>
      <c r="Q27" s="116">
        <v>3939893.0028336183</v>
      </c>
      <c r="R27" s="116">
        <v>610656.31283361895</v>
      </c>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10304668.17</v>
      </c>
      <c r="AT27" s="119">
        <v>20839.32</v>
      </c>
      <c r="AU27" s="119"/>
      <c r="AV27" s="320"/>
      <c r="AW27" s="324"/>
    </row>
    <row r="28" spans="1:49" s="11" customFormat="1" x14ac:dyDescent="0.2">
      <c r="A28" s="41"/>
      <c r="B28" s="164" t="s">
        <v>245</v>
      </c>
      <c r="C28" s="68"/>
      <c r="D28" s="115">
        <v>233194.00999999998</v>
      </c>
      <c r="E28" s="116">
        <v>650515.41408455267</v>
      </c>
      <c r="F28" s="116">
        <v>11553.704084552874</v>
      </c>
      <c r="G28" s="116"/>
      <c r="H28" s="116"/>
      <c r="I28" s="115">
        <v>646043</v>
      </c>
      <c r="J28" s="115">
        <v>6916822.6899999995</v>
      </c>
      <c r="K28" s="116">
        <v>1115717.931421048</v>
      </c>
      <c r="L28" s="116">
        <v>183911.74142104818</v>
      </c>
      <c r="M28" s="116"/>
      <c r="N28" s="116"/>
      <c r="O28" s="115"/>
      <c r="P28" s="115">
        <v>3848961.2699999996</v>
      </c>
      <c r="Q28" s="116">
        <v>650736.41971520579</v>
      </c>
      <c r="R28" s="116">
        <v>89755.759715205655</v>
      </c>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39327.279999999999</v>
      </c>
      <c r="AT28" s="119">
        <v>273.57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369750.69840000005</v>
      </c>
      <c r="E30" s="116">
        <v>428993.71493294917</v>
      </c>
      <c r="F30" s="116">
        <v>-5475.8334670508766</v>
      </c>
      <c r="G30" s="116"/>
      <c r="H30" s="116"/>
      <c r="I30" s="115">
        <v>424599</v>
      </c>
      <c r="J30" s="115">
        <v>304176.92680000013</v>
      </c>
      <c r="K30" s="116">
        <v>671702.78063969198</v>
      </c>
      <c r="L30" s="116">
        <v>273185.5538396918</v>
      </c>
      <c r="M30" s="116"/>
      <c r="N30" s="116"/>
      <c r="O30" s="115"/>
      <c r="P30" s="115">
        <v>-231799.12119999999</v>
      </c>
      <c r="Q30" s="116">
        <v>-243600.91669135814</v>
      </c>
      <c r="R30" s="116">
        <v>-68594.595491358166</v>
      </c>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790129.1105999999</v>
      </c>
      <c r="AT30" s="119">
        <v>6044.6859410000006</v>
      </c>
      <c r="AU30" s="119"/>
      <c r="AV30" s="119"/>
      <c r="AW30" s="324"/>
    </row>
    <row r="31" spans="1:49" x14ac:dyDescent="0.2">
      <c r="B31" s="164" t="s">
        <v>248</v>
      </c>
      <c r="C31" s="68"/>
      <c r="D31" s="115">
        <v>4688188.9799999995</v>
      </c>
      <c r="E31" s="116">
        <v>4149657.9266898832</v>
      </c>
      <c r="F31" s="116">
        <v>47445.476689883282</v>
      </c>
      <c r="G31" s="116"/>
      <c r="H31" s="116"/>
      <c r="I31" s="115">
        <v>4141166</v>
      </c>
      <c r="J31" s="115">
        <v>7626720.6399999997</v>
      </c>
      <c r="K31" s="116">
        <v>9385913.3657294568</v>
      </c>
      <c r="L31" s="116">
        <v>1759192.7257294571</v>
      </c>
      <c r="M31" s="116"/>
      <c r="N31" s="116"/>
      <c r="O31" s="115"/>
      <c r="P31" s="115">
        <v>3369722.5500000003</v>
      </c>
      <c r="Q31" s="116">
        <v>4181849.0783121185</v>
      </c>
      <c r="R31" s="116">
        <v>812126.52831211826</v>
      </c>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30208.42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3591237.5615073587</v>
      </c>
      <c r="F34" s="116">
        <v>75321.39150735877</v>
      </c>
      <c r="G34" s="116"/>
      <c r="H34" s="116"/>
      <c r="I34" s="115">
        <v>3515858</v>
      </c>
      <c r="J34" s="115"/>
      <c r="K34" s="116">
        <v>8067321.4364404846</v>
      </c>
      <c r="L34" s="116">
        <v>1412599.8064404847</v>
      </c>
      <c r="M34" s="116"/>
      <c r="N34" s="116"/>
      <c r="O34" s="115"/>
      <c r="P34" s="115"/>
      <c r="Q34" s="116">
        <v>4397990.553013294</v>
      </c>
      <c r="R34" s="116">
        <v>691502.79301329434</v>
      </c>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176077.91</v>
      </c>
      <c r="E35" s="116">
        <v>7720259.5151052643</v>
      </c>
      <c r="F35" s="116">
        <v>9190.2751052648709</v>
      </c>
      <c r="G35" s="116"/>
      <c r="H35" s="116"/>
      <c r="I35" s="115">
        <v>7713799</v>
      </c>
      <c r="J35" s="115">
        <v>254712.68999999997</v>
      </c>
      <c r="K35" s="116">
        <v>323620.28065436409</v>
      </c>
      <c r="L35" s="116">
        <v>54901.180654364107</v>
      </c>
      <c r="M35" s="116"/>
      <c r="N35" s="116"/>
      <c r="O35" s="115"/>
      <c r="P35" s="115">
        <v>154180</v>
      </c>
      <c r="Q35" s="116">
        <v>179698.62708499553</v>
      </c>
      <c r="R35" s="116">
        <v>25435.427084995517</v>
      </c>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377275.64</v>
      </c>
      <c r="AT35" s="119">
        <v>2570.44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716834</v>
      </c>
      <c r="E37" s="124">
        <v>719433.95000000007</v>
      </c>
      <c r="F37" s="124">
        <v>2601.6800000000003</v>
      </c>
      <c r="G37" s="124"/>
      <c r="H37" s="124"/>
      <c r="I37" s="123">
        <v>719416</v>
      </c>
      <c r="J37" s="123">
        <v>2090884</v>
      </c>
      <c r="K37" s="124">
        <v>2316314.2400000002</v>
      </c>
      <c r="L37" s="124">
        <v>225436.77000000002</v>
      </c>
      <c r="M37" s="124"/>
      <c r="N37" s="124"/>
      <c r="O37" s="123"/>
      <c r="P37" s="123">
        <v>1161601</v>
      </c>
      <c r="Q37" s="124">
        <v>1258749.8100000003</v>
      </c>
      <c r="R37" s="124">
        <v>97152.86</v>
      </c>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4876174</v>
      </c>
      <c r="AT37" s="125">
        <v>-1</v>
      </c>
      <c r="AU37" s="125"/>
      <c r="AV37" s="125"/>
      <c r="AW37" s="323"/>
    </row>
    <row r="38" spans="1:49" x14ac:dyDescent="0.2">
      <c r="B38" s="161" t="s">
        <v>255</v>
      </c>
      <c r="C38" s="68" t="s">
        <v>16</v>
      </c>
      <c r="D38" s="115">
        <v>139318</v>
      </c>
      <c r="E38" s="116">
        <v>140735.51000000004</v>
      </c>
      <c r="F38" s="116">
        <v>1417.7599999999998</v>
      </c>
      <c r="G38" s="116"/>
      <c r="H38" s="116"/>
      <c r="I38" s="115">
        <v>140719</v>
      </c>
      <c r="J38" s="115">
        <v>701231</v>
      </c>
      <c r="K38" s="116">
        <v>862662.24</v>
      </c>
      <c r="L38" s="116">
        <v>161435.70000000001</v>
      </c>
      <c r="M38" s="116"/>
      <c r="N38" s="116"/>
      <c r="O38" s="115"/>
      <c r="P38" s="115">
        <v>412334</v>
      </c>
      <c r="Q38" s="116">
        <v>481721.07999999996</v>
      </c>
      <c r="R38" s="116">
        <v>69389.69</v>
      </c>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1950551</v>
      </c>
      <c r="AT38" s="119">
        <v>-1</v>
      </c>
      <c r="AU38" s="119"/>
      <c r="AV38" s="119"/>
      <c r="AW38" s="324"/>
    </row>
    <row r="39" spans="1:49" x14ac:dyDescent="0.2">
      <c r="B39" s="164" t="s">
        <v>256</v>
      </c>
      <c r="C39" s="68" t="s">
        <v>17</v>
      </c>
      <c r="D39" s="115">
        <v>261901</v>
      </c>
      <c r="E39" s="116">
        <v>262353.42000000004</v>
      </c>
      <c r="F39" s="116">
        <v>453.11</v>
      </c>
      <c r="G39" s="116"/>
      <c r="H39" s="116"/>
      <c r="I39" s="115">
        <v>262344</v>
      </c>
      <c r="J39" s="115">
        <v>672996</v>
      </c>
      <c r="K39" s="116">
        <v>709307.43</v>
      </c>
      <c r="L39" s="116">
        <v>36312.730000000003</v>
      </c>
      <c r="M39" s="116"/>
      <c r="N39" s="116"/>
      <c r="O39" s="115"/>
      <c r="P39" s="115">
        <v>405191</v>
      </c>
      <c r="Q39" s="116">
        <v>420916.74000000005</v>
      </c>
      <c r="R39" s="116">
        <v>15726.579999999998</v>
      </c>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1332670</v>
      </c>
      <c r="AT39" s="119"/>
      <c r="AU39" s="119"/>
      <c r="AV39" s="119"/>
      <c r="AW39" s="324"/>
    </row>
    <row r="40" spans="1:49" x14ac:dyDescent="0.2">
      <c r="B40" s="164" t="s">
        <v>257</v>
      </c>
      <c r="C40" s="68" t="s">
        <v>38</v>
      </c>
      <c r="D40" s="115">
        <v>157275</v>
      </c>
      <c r="E40" s="116">
        <v>157994.41</v>
      </c>
      <c r="F40" s="116">
        <v>719.98</v>
      </c>
      <c r="G40" s="116"/>
      <c r="H40" s="116"/>
      <c r="I40" s="115">
        <v>157935</v>
      </c>
      <c r="J40" s="115">
        <v>6256172</v>
      </c>
      <c r="K40" s="116">
        <v>6393310.6499999994</v>
      </c>
      <c r="L40" s="116">
        <v>137143.14000000001</v>
      </c>
      <c r="M40" s="116"/>
      <c r="N40" s="116"/>
      <c r="O40" s="115"/>
      <c r="P40" s="115">
        <v>3682325</v>
      </c>
      <c r="Q40" s="116">
        <v>3738829.0899999994</v>
      </c>
      <c r="R40" s="116">
        <v>56505.590000000004</v>
      </c>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4963227</v>
      </c>
      <c r="AT40" s="119">
        <v>127</v>
      </c>
      <c r="AU40" s="119"/>
      <c r="AV40" s="119"/>
      <c r="AW40" s="324"/>
    </row>
    <row r="41" spans="1:49" s="11" customFormat="1" ht="25.5" x14ac:dyDescent="0.2">
      <c r="A41" s="41"/>
      <c r="B41" s="164" t="s">
        <v>258</v>
      </c>
      <c r="C41" s="68" t="s">
        <v>129</v>
      </c>
      <c r="D41" s="115">
        <v>187905</v>
      </c>
      <c r="E41" s="116">
        <v>189328.81</v>
      </c>
      <c r="F41" s="116">
        <v>1424.29</v>
      </c>
      <c r="G41" s="116"/>
      <c r="H41" s="116"/>
      <c r="I41" s="115">
        <v>189318</v>
      </c>
      <c r="J41" s="115">
        <v>463273</v>
      </c>
      <c r="K41" s="116">
        <v>570359.35</v>
      </c>
      <c r="L41" s="116">
        <v>107088.88</v>
      </c>
      <c r="M41" s="116"/>
      <c r="N41" s="116"/>
      <c r="O41" s="115"/>
      <c r="P41" s="115">
        <v>267660</v>
      </c>
      <c r="Q41" s="116">
        <v>314759.99</v>
      </c>
      <c r="R41" s="116">
        <v>47100.69</v>
      </c>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486010</v>
      </c>
      <c r="AT41" s="119">
        <v>3098</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2368280</v>
      </c>
      <c r="E44" s="124">
        <v>2398463.161134915</v>
      </c>
      <c r="F44" s="124">
        <v>30183.161134915088</v>
      </c>
      <c r="G44" s="124"/>
      <c r="H44" s="124"/>
      <c r="I44" s="123">
        <v>2387745</v>
      </c>
      <c r="J44" s="123">
        <v>6867369</v>
      </c>
      <c r="K44" s="124">
        <v>7969818.1071436238</v>
      </c>
      <c r="L44" s="124">
        <v>1102449.1071436238</v>
      </c>
      <c r="M44" s="124"/>
      <c r="N44" s="124"/>
      <c r="O44" s="123"/>
      <c r="P44" s="123">
        <v>4519739</v>
      </c>
      <c r="Q44" s="124">
        <v>5050637.5690159351</v>
      </c>
      <c r="R44" s="124">
        <v>530898.56901593495</v>
      </c>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5895156</v>
      </c>
      <c r="AT44" s="125">
        <v>16234.000000000002</v>
      </c>
      <c r="AU44" s="125"/>
      <c r="AV44" s="125"/>
      <c r="AW44" s="323"/>
    </row>
    <row r="45" spans="1:49" x14ac:dyDescent="0.2">
      <c r="B45" s="167" t="s">
        <v>262</v>
      </c>
      <c r="C45" s="68" t="s">
        <v>19</v>
      </c>
      <c r="D45" s="115">
        <v>2533420</v>
      </c>
      <c r="E45" s="116">
        <v>2563028.8567977631</v>
      </c>
      <c r="F45" s="116">
        <v>29608.85679776295</v>
      </c>
      <c r="G45" s="116"/>
      <c r="H45" s="116"/>
      <c r="I45" s="115">
        <v>2559785</v>
      </c>
      <c r="J45" s="115">
        <v>2162900</v>
      </c>
      <c r="K45" s="116">
        <v>2561006.9558361652</v>
      </c>
      <c r="L45" s="116">
        <v>398106.95583616529</v>
      </c>
      <c r="M45" s="116"/>
      <c r="N45" s="116"/>
      <c r="O45" s="115"/>
      <c r="P45" s="115">
        <v>1665081</v>
      </c>
      <c r="Q45" s="116">
        <v>1774248.7448508223</v>
      </c>
      <c r="R45" s="116">
        <v>109167.74485082217</v>
      </c>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3465188</v>
      </c>
      <c r="AT45" s="119">
        <v>14714</v>
      </c>
      <c r="AU45" s="119"/>
      <c r="AV45" s="119"/>
      <c r="AW45" s="324"/>
    </row>
    <row r="46" spans="1:49" x14ac:dyDescent="0.2">
      <c r="B46" s="167" t="s">
        <v>263</v>
      </c>
      <c r="C46" s="68" t="s">
        <v>20</v>
      </c>
      <c r="D46" s="115">
        <v>2674908</v>
      </c>
      <c r="E46" s="116">
        <v>2706062.2090777126</v>
      </c>
      <c r="F46" s="116">
        <v>31154.209077712549</v>
      </c>
      <c r="G46" s="116"/>
      <c r="H46" s="116"/>
      <c r="I46" s="115">
        <v>2706062</v>
      </c>
      <c r="J46" s="115">
        <v>2454522</v>
      </c>
      <c r="K46" s="116">
        <v>2988279.0883419784</v>
      </c>
      <c r="L46" s="116">
        <v>533757.08834197826</v>
      </c>
      <c r="M46" s="116"/>
      <c r="N46" s="116"/>
      <c r="O46" s="115"/>
      <c r="P46" s="115">
        <v>1445677</v>
      </c>
      <c r="Q46" s="116">
        <v>1688006.7469698254</v>
      </c>
      <c r="R46" s="116">
        <v>242329.74696982538</v>
      </c>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7229579</v>
      </c>
      <c r="AT46" s="119">
        <v>51211</v>
      </c>
      <c r="AU46" s="119"/>
      <c r="AV46" s="119"/>
      <c r="AW46" s="324"/>
    </row>
    <row r="47" spans="1:49" x14ac:dyDescent="0.2">
      <c r="B47" s="167" t="s">
        <v>264</v>
      </c>
      <c r="C47" s="68" t="s">
        <v>21</v>
      </c>
      <c r="D47" s="115">
        <v>8083870</v>
      </c>
      <c r="E47" s="116">
        <v>8215667.3181254007</v>
      </c>
      <c r="F47" s="116">
        <v>131797.31812540043</v>
      </c>
      <c r="G47" s="116"/>
      <c r="H47" s="116"/>
      <c r="I47" s="115">
        <v>8085875</v>
      </c>
      <c r="J47" s="115">
        <v>30188453</v>
      </c>
      <c r="K47" s="116">
        <v>33813146.07209444</v>
      </c>
      <c r="L47" s="116">
        <v>3624693.0720944377</v>
      </c>
      <c r="M47" s="116"/>
      <c r="N47" s="116"/>
      <c r="O47" s="115"/>
      <c r="P47" s="115">
        <v>12428856</v>
      </c>
      <c r="Q47" s="116">
        <v>13958368.520850992</v>
      </c>
      <c r="R47" s="116">
        <v>1529512.5208509916</v>
      </c>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11477415</v>
      </c>
      <c r="AT47" s="119">
        <v>3779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421372.87159999995</v>
      </c>
      <c r="E49" s="116">
        <v>-259750.7407622161</v>
      </c>
      <c r="F49" s="116">
        <v>4106.0376377838566</v>
      </c>
      <c r="G49" s="116"/>
      <c r="H49" s="116"/>
      <c r="I49" s="115">
        <v>-263494</v>
      </c>
      <c r="J49" s="115">
        <v>919207.22319999989</v>
      </c>
      <c r="K49" s="116">
        <v>-465423.39062279381</v>
      </c>
      <c r="L49" s="116">
        <v>-385346.29382279376</v>
      </c>
      <c r="M49" s="116"/>
      <c r="N49" s="116"/>
      <c r="O49" s="115"/>
      <c r="P49" s="115">
        <v>930590.47120000026</v>
      </c>
      <c r="Q49" s="116">
        <v>424692.00925378886</v>
      </c>
      <c r="R49" s="116">
        <v>95711.698053788772</v>
      </c>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2095278.2294000001</v>
      </c>
      <c r="AT49" s="119">
        <v>20397.784058999998</v>
      </c>
      <c r="AU49" s="119"/>
      <c r="AV49" s="119"/>
      <c r="AW49" s="324"/>
    </row>
    <row r="50" spans="2:49" ht="25.5" x14ac:dyDescent="0.2">
      <c r="B50" s="161" t="s">
        <v>266</v>
      </c>
      <c r="C50" s="68"/>
      <c r="D50" s="115">
        <v>9395.7599999999948</v>
      </c>
      <c r="E50" s="116">
        <v>9519.8432535099291</v>
      </c>
      <c r="F50" s="116">
        <v>124.08325350993417</v>
      </c>
      <c r="G50" s="116"/>
      <c r="H50" s="116"/>
      <c r="I50" s="115">
        <v>9102</v>
      </c>
      <c r="J50" s="115">
        <v>14118.669999999995</v>
      </c>
      <c r="K50" s="116">
        <v>17291.497637774992</v>
      </c>
      <c r="L50" s="116">
        <v>3172.8276377749967</v>
      </c>
      <c r="M50" s="116"/>
      <c r="N50" s="116"/>
      <c r="O50" s="115"/>
      <c r="P50" s="115">
        <v>8780.0499999999993</v>
      </c>
      <c r="Q50" s="116">
        <v>10240.574132691982</v>
      </c>
      <c r="R50" s="116">
        <v>1460.5241326919818</v>
      </c>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21630.699999999997</v>
      </c>
      <c r="AT50" s="119">
        <v>124.57999999999998</v>
      </c>
      <c r="AU50" s="119"/>
      <c r="AV50" s="119"/>
      <c r="AW50" s="324"/>
    </row>
    <row r="51" spans="2:49" x14ac:dyDescent="0.2">
      <c r="B51" s="161" t="s">
        <v>267</v>
      </c>
      <c r="C51" s="68"/>
      <c r="D51" s="115">
        <v>17746991</v>
      </c>
      <c r="E51" s="116">
        <v>17989962.147119984</v>
      </c>
      <c r="F51" s="116">
        <v>242971.14711998487</v>
      </c>
      <c r="G51" s="116"/>
      <c r="H51" s="116"/>
      <c r="I51" s="115">
        <v>18291260</v>
      </c>
      <c r="J51" s="115">
        <v>28025078</v>
      </c>
      <c r="K51" s="116">
        <v>34102553.347723126</v>
      </c>
      <c r="L51" s="116">
        <v>6077475.3477231264</v>
      </c>
      <c r="M51" s="116"/>
      <c r="N51" s="116"/>
      <c r="O51" s="115"/>
      <c r="P51" s="115">
        <v>16916423</v>
      </c>
      <c r="Q51" s="116">
        <v>19688895.550728936</v>
      </c>
      <c r="R51" s="116">
        <v>2772472.5507289371</v>
      </c>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36707363</v>
      </c>
      <c r="AT51" s="119">
        <v>252082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59341</v>
      </c>
      <c r="E56" s="128">
        <v>56653</v>
      </c>
      <c r="F56" s="128"/>
      <c r="G56" s="128"/>
      <c r="H56" s="128"/>
      <c r="I56" s="127">
        <v>56652</v>
      </c>
      <c r="J56" s="127">
        <v>77730</v>
      </c>
      <c r="K56" s="128">
        <v>77023</v>
      </c>
      <c r="L56" s="128"/>
      <c r="M56" s="128"/>
      <c r="N56" s="128"/>
      <c r="O56" s="127"/>
      <c r="P56" s="127">
        <v>42099</v>
      </c>
      <c r="Q56" s="128">
        <v>42040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4006</v>
      </c>
      <c r="AT56" s="129">
        <v>9104</v>
      </c>
      <c r="AU56" s="129"/>
      <c r="AV56" s="129"/>
      <c r="AW56" s="315"/>
    </row>
    <row r="57" spans="2:49" x14ac:dyDescent="0.2">
      <c r="B57" s="167" t="s">
        <v>273</v>
      </c>
      <c r="C57" s="68" t="s">
        <v>25</v>
      </c>
      <c r="D57" s="130">
        <v>88619</v>
      </c>
      <c r="E57" s="131">
        <v>85523</v>
      </c>
      <c r="F57" s="131">
        <v>962</v>
      </c>
      <c r="G57" s="131"/>
      <c r="H57" s="131"/>
      <c r="I57" s="130">
        <v>85522</v>
      </c>
      <c r="J57" s="130">
        <v>121194</v>
      </c>
      <c r="K57" s="131">
        <v>126532</v>
      </c>
      <c r="L57" s="131">
        <v>24346</v>
      </c>
      <c r="M57" s="131"/>
      <c r="N57" s="131"/>
      <c r="O57" s="130"/>
      <c r="P57" s="130">
        <v>68676</v>
      </c>
      <c r="Q57" s="131">
        <v>68644</v>
      </c>
      <c r="R57" s="131">
        <v>10125</v>
      </c>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77888</v>
      </c>
      <c r="AT57" s="132">
        <v>9104</v>
      </c>
      <c r="AU57" s="132"/>
      <c r="AV57" s="132"/>
      <c r="AW57" s="316"/>
    </row>
    <row r="58" spans="2:49" x14ac:dyDescent="0.2">
      <c r="B58" s="167" t="s">
        <v>274</v>
      </c>
      <c r="C58" s="68" t="s">
        <v>26</v>
      </c>
      <c r="D58" s="336"/>
      <c r="E58" s="337"/>
      <c r="F58" s="337"/>
      <c r="G58" s="337"/>
      <c r="H58" s="337"/>
      <c r="I58" s="336"/>
      <c r="J58" s="130">
        <v>7819</v>
      </c>
      <c r="K58" s="131">
        <v>7819</v>
      </c>
      <c r="L58" s="131"/>
      <c r="M58" s="131"/>
      <c r="N58" s="131"/>
      <c r="O58" s="130"/>
      <c r="P58" s="130">
        <v>311</v>
      </c>
      <c r="Q58" s="131">
        <v>311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4</v>
      </c>
      <c r="AT58" s="132"/>
      <c r="AU58" s="132"/>
      <c r="AV58" s="132"/>
      <c r="AW58" s="316"/>
    </row>
    <row r="59" spans="2:49" x14ac:dyDescent="0.2">
      <c r="B59" s="167" t="s">
        <v>275</v>
      </c>
      <c r="C59" s="68" t="s">
        <v>27</v>
      </c>
      <c r="D59" s="130">
        <v>902193</v>
      </c>
      <c r="E59" s="131">
        <v>870873</v>
      </c>
      <c r="F59" s="131">
        <v>10322</v>
      </c>
      <c r="G59" s="131"/>
      <c r="H59" s="131"/>
      <c r="I59" s="130">
        <v>870861</v>
      </c>
      <c r="J59" s="130">
        <v>1490266</v>
      </c>
      <c r="K59" s="131">
        <v>1528757</v>
      </c>
      <c r="L59" s="131">
        <v>289605</v>
      </c>
      <c r="M59" s="131"/>
      <c r="N59" s="131"/>
      <c r="O59" s="130"/>
      <c r="P59" s="130">
        <v>890541</v>
      </c>
      <c r="Q59" s="131">
        <v>891524</v>
      </c>
      <c r="R59" s="131">
        <v>136269</v>
      </c>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909339</v>
      </c>
      <c r="AT59" s="132">
        <v>98306</v>
      </c>
      <c r="AU59" s="132"/>
      <c r="AV59" s="132"/>
      <c r="AW59" s="316"/>
    </row>
    <row r="60" spans="2:49" x14ac:dyDescent="0.2">
      <c r="B60" s="167" t="s">
        <v>276</v>
      </c>
      <c r="C60" s="68"/>
      <c r="D60" s="133">
        <f>D$59/12</f>
        <v>75182.75</v>
      </c>
      <c r="E60" s="134">
        <f>E$59/12</f>
        <v>72572.75</v>
      </c>
      <c r="F60" s="134">
        <f>F$59/12</f>
        <v>860.16666666666663</v>
      </c>
      <c r="G60" s="134">
        <f>G$59/12</f>
        <v>0</v>
      </c>
      <c r="H60" s="134">
        <f>H$59/12</f>
        <v>0</v>
      </c>
      <c r="I60" s="133">
        <f>I$59/12</f>
        <v>72571.75</v>
      </c>
      <c r="J60" s="133">
        <f>J$59/12</f>
        <v>124188.83333333333</v>
      </c>
      <c r="K60" s="134">
        <f>K$59/12</f>
        <v>127396.41666666667</v>
      </c>
      <c r="L60" s="134">
        <f>L$59/12</f>
        <v>24133.75</v>
      </c>
      <c r="M60" s="134">
        <f>M$59/12</f>
        <v>0</v>
      </c>
      <c r="N60" s="134">
        <f>N$59/12</f>
        <v>0</v>
      </c>
      <c r="O60" s="133">
        <f>O$59/12</f>
        <v>0</v>
      </c>
      <c r="P60" s="133">
        <f>P$59/12</f>
        <v>74211.75</v>
      </c>
      <c r="Q60" s="134">
        <f>Q$59/12</f>
        <v>74293.666666666672</v>
      </c>
      <c r="R60" s="134">
        <f>R$59/12</f>
        <v>11355.75</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f>AN$59/12</f>
        <v>0</v>
      </c>
      <c r="AO60" s="134">
        <f>AO$59/12</f>
        <v>0</v>
      </c>
      <c r="AP60" s="134">
        <f>AP$59/12</f>
        <v>0</v>
      </c>
      <c r="AQ60" s="134">
        <f>AQ$59/12</f>
        <v>0</v>
      </c>
      <c r="AR60" s="134">
        <f>AR$59/12</f>
        <v>0</v>
      </c>
      <c r="AS60" s="133">
        <f>AS$59/12</f>
        <v>75778.25</v>
      </c>
      <c r="AT60" s="135">
        <f>AT$59/12</f>
        <v>8192.1666666666661</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17281810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6906652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277908614</v>
      </c>
      <c r="E5" s="124">
        <v>242296504.6168161</v>
      </c>
      <c r="F5" s="124">
        <v>2782686.25</v>
      </c>
      <c r="G5" s="136"/>
      <c r="H5" s="136"/>
      <c r="I5" s="123">
        <v>242286333</v>
      </c>
      <c r="J5" s="123">
        <v>453291567</v>
      </c>
      <c r="K5" s="124">
        <v>546346741.44518137</v>
      </c>
      <c r="L5" s="124">
        <v>102971069.94</v>
      </c>
      <c r="M5" s="124"/>
      <c r="N5" s="124"/>
      <c r="O5" s="123"/>
      <c r="P5" s="123">
        <v>279672430</v>
      </c>
      <c r="Q5" s="124">
        <v>338259100.60391456</v>
      </c>
      <c r="R5" s="124">
        <v>47753052.29999999</v>
      </c>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832235865</v>
      </c>
      <c r="AT5" s="125">
        <v>1689163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1134</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v>1530763</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-481449</v>
      </c>
      <c r="E11" s="116"/>
      <c r="F11" s="116"/>
      <c r="G11" s="116"/>
      <c r="H11" s="116"/>
      <c r="I11" s="115"/>
      <c r="J11" s="115"/>
      <c r="K11" s="116"/>
      <c r="L11" s="116"/>
      <c r="M11" s="116"/>
      <c r="N11" s="116"/>
      <c r="O11" s="115"/>
      <c r="P11" s="115">
        <v>511545</v>
      </c>
      <c r="Q11" s="116">
        <v>630992.86</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-10443708</v>
      </c>
      <c r="AT11" s="119"/>
      <c r="AU11" s="119"/>
      <c r="AV11" s="317"/>
      <c r="AW11" s="324"/>
    </row>
    <row r="12" spans="2:49" x14ac:dyDescent="0.2">
      <c r="B12" s="182" t="s">
        <v>283</v>
      </c>
      <c r="C12" s="139" t="s">
        <v>44</v>
      </c>
      <c r="D12" s="115"/>
      <c r="E12" s="295"/>
      <c r="F12" s="295"/>
      <c r="G12" s="295"/>
      <c r="H12" s="295"/>
      <c r="I12" s="299"/>
      <c r="J12" s="115">
        <v>-5.0000001181615517E-2</v>
      </c>
      <c r="K12" s="295"/>
      <c r="L12" s="295"/>
      <c r="M12" s="295"/>
      <c r="N12" s="295"/>
      <c r="O12" s="299"/>
      <c r="P12" s="115">
        <v>1901366</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-8576067</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53329111.450000003</v>
      </c>
      <c r="F15" s="116"/>
      <c r="G15" s="116"/>
      <c r="H15" s="116"/>
      <c r="I15" s="115">
        <v>53329111</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-38610710.600000001</v>
      </c>
      <c r="F16" s="116"/>
      <c r="G16" s="116"/>
      <c r="H16" s="116"/>
      <c r="I16" s="115">
        <v>-38610711</v>
      </c>
      <c r="J16" s="115"/>
      <c r="K16" s="116">
        <v>-1682294.43</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58529308</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v>145114903.18000001</v>
      </c>
      <c r="F20" s="116"/>
      <c r="G20" s="116"/>
      <c r="H20" s="116"/>
      <c r="I20" s="115">
        <v>145114903</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233098764</v>
      </c>
      <c r="E23" s="294"/>
      <c r="F23" s="294"/>
      <c r="G23" s="294"/>
      <c r="H23" s="294"/>
      <c r="I23" s="298"/>
      <c r="J23" s="115">
        <v>347978983</v>
      </c>
      <c r="K23" s="294"/>
      <c r="L23" s="294"/>
      <c r="M23" s="294"/>
      <c r="N23" s="294"/>
      <c r="O23" s="298"/>
      <c r="P23" s="115">
        <v>243847875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694602401</v>
      </c>
      <c r="AT23" s="119">
        <v>1056469</v>
      </c>
      <c r="AU23" s="119"/>
      <c r="AV23" s="317"/>
      <c r="AW23" s="324"/>
    </row>
    <row r="24" spans="2:49" ht="28.5" customHeight="1" x14ac:dyDescent="0.2">
      <c r="B24" s="184" t="s">
        <v>114</v>
      </c>
      <c r="C24" s="139"/>
      <c r="D24" s="299"/>
      <c r="E24" s="116">
        <v>299267053.15999997</v>
      </c>
      <c r="F24" s="116">
        <v>4683508.2799999993</v>
      </c>
      <c r="G24" s="116"/>
      <c r="H24" s="116"/>
      <c r="I24" s="115">
        <v>299206307</v>
      </c>
      <c r="J24" s="299"/>
      <c r="K24" s="116">
        <v>426158562.96999991</v>
      </c>
      <c r="L24" s="116">
        <v>77104953.879999995</v>
      </c>
      <c r="M24" s="116"/>
      <c r="N24" s="116"/>
      <c r="O24" s="115"/>
      <c r="P24" s="299"/>
      <c r="Q24" s="116">
        <v>294740321.31999999</v>
      </c>
      <c r="R24" s="116">
        <v>45907138.68</v>
      </c>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45535479</v>
      </c>
      <c r="E26" s="294"/>
      <c r="F26" s="294"/>
      <c r="G26" s="294"/>
      <c r="H26" s="294"/>
      <c r="I26" s="298"/>
      <c r="J26" s="115">
        <v>27574969</v>
      </c>
      <c r="K26" s="294"/>
      <c r="L26" s="294"/>
      <c r="M26" s="294"/>
      <c r="N26" s="294"/>
      <c r="O26" s="298"/>
      <c r="P26" s="115">
        <v>17851686</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83989554</v>
      </c>
      <c r="AT26" s="119">
        <v>63091</v>
      </c>
      <c r="AU26" s="119"/>
      <c r="AV26" s="317"/>
      <c r="AW26" s="324"/>
    </row>
    <row r="27" spans="2:49" s="11" customFormat="1" ht="25.5" x14ac:dyDescent="0.2">
      <c r="B27" s="184" t="s">
        <v>85</v>
      </c>
      <c r="C27" s="139"/>
      <c r="D27" s="299"/>
      <c r="E27" s="116">
        <v>8196152.0186000001</v>
      </c>
      <c r="F27" s="116">
        <v>129933.74099999998</v>
      </c>
      <c r="G27" s="116"/>
      <c r="H27" s="116"/>
      <c r="I27" s="115">
        <v>8187197</v>
      </c>
      <c r="J27" s="299"/>
      <c r="K27" s="116">
        <v>5046425.020600507</v>
      </c>
      <c r="L27" s="116">
        <v>1951974.2077000001</v>
      </c>
      <c r="M27" s="116"/>
      <c r="N27" s="116"/>
      <c r="O27" s="115"/>
      <c r="P27" s="299"/>
      <c r="Q27" s="116">
        <v>3641646.3777995044</v>
      </c>
      <c r="R27" s="116">
        <v>1022600.3873000001</v>
      </c>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6188</v>
      </c>
      <c r="E28" s="295"/>
      <c r="F28" s="295"/>
      <c r="G28" s="295"/>
      <c r="H28" s="295"/>
      <c r="I28" s="299"/>
      <c r="J28" s="115">
        <v>37276143</v>
      </c>
      <c r="K28" s="295"/>
      <c r="L28" s="295"/>
      <c r="M28" s="295"/>
      <c r="N28" s="295"/>
      <c r="O28" s="299"/>
      <c r="P28" s="115">
        <v>22259091</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55124918</v>
      </c>
      <c r="AT28" s="119">
        <v>76134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193308</v>
      </c>
      <c r="K30" s="294"/>
      <c r="L30" s="294"/>
      <c r="M30" s="294"/>
      <c r="N30" s="294"/>
      <c r="O30" s="298"/>
      <c r="P30" s="115">
        <v>30692</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193308.07</v>
      </c>
      <c r="L31" s="116"/>
      <c r="M31" s="116"/>
      <c r="N31" s="116"/>
      <c r="O31" s="115"/>
      <c r="P31" s="299"/>
      <c r="Q31" s="116">
        <v>-135308.06999999998</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v>166000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45701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45701</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27115</v>
      </c>
      <c r="E36" s="116">
        <v>27115</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v>1530763</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3889113</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-481449</v>
      </c>
      <c r="E41" s="294"/>
      <c r="F41" s="294"/>
      <c r="G41" s="294"/>
      <c r="H41" s="294"/>
      <c r="I41" s="298"/>
      <c r="J41" s="115"/>
      <c r="K41" s="294"/>
      <c r="L41" s="294"/>
      <c r="M41" s="294"/>
      <c r="N41" s="294"/>
      <c r="O41" s="298"/>
      <c r="P41" s="115">
        <v>511545</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-10443708</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v>630992.86</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66997</v>
      </c>
      <c r="K43" s="295"/>
      <c r="L43" s="295"/>
      <c r="M43" s="295"/>
      <c r="N43" s="295"/>
      <c r="O43" s="299"/>
      <c r="P43" s="115">
        <v>1901366</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-8576068</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218667</v>
      </c>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449328</v>
      </c>
      <c r="E49" s="116">
        <v>1678318.98</v>
      </c>
      <c r="F49" s="116"/>
      <c r="G49" s="116"/>
      <c r="H49" s="116"/>
      <c r="I49" s="115">
        <v>1678316</v>
      </c>
      <c r="J49" s="115">
        <v>3219400</v>
      </c>
      <c r="K49" s="116">
        <v>9492346.7979890797</v>
      </c>
      <c r="L49" s="116"/>
      <c r="M49" s="116"/>
      <c r="N49" s="116"/>
      <c r="O49" s="115"/>
      <c r="P49" s="115">
        <v>735568</v>
      </c>
      <c r="Q49" s="116">
        <v>5954220.4220109275</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6849876</v>
      </c>
      <c r="AT49" s="119"/>
      <c r="AU49" s="119"/>
      <c r="AV49" s="317"/>
      <c r="AW49" s="324"/>
    </row>
    <row r="50" spans="2:49" x14ac:dyDescent="0.2">
      <c r="B50" s="182" t="s">
        <v>119</v>
      </c>
      <c r="C50" s="139" t="s">
        <v>34</v>
      </c>
      <c r="D50" s="115">
        <v>478</v>
      </c>
      <c r="E50" s="295"/>
      <c r="F50" s="295"/>
      <c r="G50" s="295"/>
      <c r="H50" s="295"/>
      <c r="I50" s="299"/>
      <c r="J50" s="115">
        <v>1817357</v>
      </c>
      <c r="K50" s="295"/>
      <c r="L50" s="295"/>
      <c r="M50" s="295"/>
      <c r="N50" s="295"/>
      <c r="O50" s="299"/>
      <c r="P50" s="115">
        <v>962414</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4074552</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318301</v>
      </c>
      <c r="L53" s="116">
        <v>1750508</v>
      </c>
      <c r="M53" s="116"/>
      <c r="N53" s="116"/>
      <c r="O53" s="115"/>
      <c r="P53" s="115"/>
      <c r="Q53" s="116">
        <v>607782</v>
      </c>
      <c r="R53" s="116">
        <v>-4362730</v>
      </c>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277716342</v>
      </c>
      <c r="E54" s="121">
        <f>E24+E27+E31+E35-E36+E39+E42+E45+E46-E49+E51+E52+E53</f>
        <v>305803472.19859993</v>
      </c>
      <c r="F54" s="121">
        <f>F24+F27+F31+F35-F36+F39+F42+F45+F46-F49+F51+F52+F53</f>
        <v>4813442.0209999997</v>
      </c>
      <c r="G54" s="121">
        <f>G24+G27+G31+G35-G36+G39+G42+G45+G46-G49+G51+G52+G53</f>
        <v>0</v>
      </c>
      <c r="H54" s="121">
        <f>H24+H27+H31+H35-H36+H39+H42+H45+H46-H49+H51+H52+H53</f>
        <v>0</v>
      </c>
      <c r="I54" s="120">
        <f>I24+I27+I31+I35-I36+I39+I42+I45+I46-I49+I51+I52+I53</f>
        <v>305715188</v>
      </c>
      <c r="J54" s="120">
        <f>J23+J26-J28+J30-J32+J34-J36+J38+J41-J43+J45+J46-J47-J49+J50+J51+J52+J53</f>
        <v>337002077</v>
      </c>
      <c r="K54" s="121">
        <f>K24+K27+K31+K35-K36+K39+K42+K45+K46-K49+K51+K52+K53</f>
        <v>422224250.26261133</v>
      </c>
      <c r="L54" s="121">
        <f>L24+L27+L31+L35-L36+L39+L42+L45+L46-L49+L51+L52+L53</f>
        <v>80807436.087699994</v>
      </c>
      <c r="M54" s="121">
        <f>M24+M27+M31+M35-M36+M39+M42+M45+M46-M49+M51+M52+M53</f>
        <v>0</v>
      </c>
      <c r="N54" s="121">
        <f>N24+N27+N31+N35-N36+N39+N42+N45+N46-N49+N51+N52+N53</f>
        <v>0</v>
      </c>
      <c r="O54" s="120">
        <f>O24+O27+O31+O35-O36+O39+O42+O45+O46-O49+O51+O52+O53</f>
        <v>0</v>
      </c>
      <c r="P54" s="120">
        <f>P23+P26-P28+P30-P32+P34-P36+P38+P41-P43+P45+P46-P47-P49+P50+P51+P52+P53</f>
        <v>239672950</v>
      </c>
      <c r="Q54" s="121">
        <f>Q24+Q27+Q31+Q35-Q36+Q39+Q42+Q45+Q46-Q49+Q51+Q52+Q53</f>
        <v>293531214.06578863</v>
      </c>
      <c r="R54" s="121">
        <f>R24+R27+R31+R35-R36+R39+R42+R45+R46-R49+R51+R52+R53</f>
        <v>42567009.067299999</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f>AN23+AN26-AN28+AN30-AN32+AN34-AN36+AN38+AN41-AN43+AN45+AN46-AN47-AN49+AN50+AN51+AN52+AN53</f>
        <v>0</v>
      </c>
      <c r="AO54" s="121">
        <f>AO24+AO27+AO31+AO35-AO36+AO39+AO42+AO45+AO46-AO49+AO51+AO52+AO53</f>
        <v>0</v>
      </c>
      <c r="AP54" s="121">
        <f>AP24+AP27+AP31+AP35-AP36+AP39+AP42+AP45+AP46-AP49+AP51+AP52+AP53</f>
        <v>0</v>
      </c>
      <c r="AQ54" s="121">
        <f>AQ24+AQ27+AQ31+AQ35-AQ36+AQ39+AQ42+AQ45+AQ46-AQ49+AQ51+AQ52+AQ53</f>
        <v>0</v>
      </c>
      <c r="AR54" s="121">
        <f>AR24+AR27+AR31+AR35-AR36+AR39+AR42+AR45+AR46-AR49+AR51+AR52+AR53</f>
        <v>0</v>
      </c>
      <c r="AS54" s="120">
        <f>AS23+AS26-AS28+AS30-AS32+AS34-AS36+AS38+AS41-AS43+AS45+AS46-AS47-AS49+AS50+AS51+AS52+AS53</f>
        <v>722494519</v>
      </c>
      <c r="AT54" s="122">
        <f>AT23+AT26-AT28+AT30-AT32+AT34-AT36+AT38+AT41-AT43+AT45+AT46-AT47-AT49+AT50+AT51+AT52+AT53</f>
        <v>1043426</v>
      </c>
      <c r="AU54" s="122">
        <f>AU23+AU26-AU28+AU30-AU32+AU34-AU36+AU38+AU41-AU43+AU45+AU46-AU47-AU49+AU50+AU51+AU52+AU53</f>
        <v>0</v>
      </c>
      <c r="AV54" s="317"/>
      <c r="AW54" s="324"/>
    </row>
    <row r="55" spans="2:49" ht="25.5" x14ac:dyDescent="0.2">
      <c r="B55" s="187" t="s">
        <v>304</v>
      </c>
      <c r="C55" s="143" t="s">
        <v>28</v>
      </c>
      <c r="D55" s="120">
        <f>MIN(MAX(0,D56),MAX(0,D57))</f>
        <v>296037</v>
      </c>
      <c r="E55" s="121">
        <f>MIN(MAX(0,E56),MAX(0,E57))</f>
        <v>299590.69</v>
      </c>
      <c r="F55" s="121">
        <f>MIN(MAX(0,F56),MAX(0,F57))</f>
        <v>0</v>
      </c>
      <c r="G55" s="121">
        <f>MIN(MAX(0,G56),MAX(0,G57))</f>
        <v>0</v>
      </c>
      <c r="H55" s="121">
        <f>MIN(MAX(0,H56),MAX(0,H57))</f>
        <v>0</v>
      </c>
      <c r="I55" s="120">
        <f>MIN(MAX(0,I56),MAX(0,I57))</f>
        <v>296026</v>
      </c>
      <c r="J55" s="120">
        <f>MIN(MAX(0,J56),MAX(0,J57))</f>
        <v>654525</v>
      </c>
      <c r="K55" s="121">
        <f>MIN(MAX(0,K56),MAX(0,K57))</f>
        <v>657736.39</v>
      </c>
      <c r="L55" s="121">
        <f>MIN(MAX(0,L56),MAX(0,L57))</f>
        <v>0</v>
      </c>
      <c r="M55" s="121">
        <f>MIN(MAX(0,M56),MAX(0,M57))</f>
        <v>0</v>
      </c>
      <c r="N55" s="121">
        <f>MIN(MAX(0,N56),MAX(0,N57))</f>
        <v>0</v>
      </c>
      <c r="O55" s="120">
        <f>MIN(MAX(0,O56),MAX(0,O57))</f>
        <v>0</v>
      </c>
      <c r="P55" s="120">
        <f>MIN(MAX(0,P56),MAX(0,P57))</f>
        <v>484286</v>
      </c>
      <c r="Q55" s="121">
        <f>MIN(MAX(0,Q56),MAX(0,Q57))</f>
        <v>485683.4</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f>MIN(MAX(0,AN56),MAX(0,AN57))</f>
        <v>0</v>
      </c>
      <c r="AO55" s="121">
        <f>MIN(MAX(0,AO56),MAX(0,AO57))</f>
        <v>0</v>
      </c>
      <c r="AP55" s="121">
        <f>MIN(MAX(0,AP56),MAX(0,AP57))</f>
        <v>0</v>
      </c>
      <c r="AQ55" s="121">
        <f>MIN(MAX(0,AQ56),MAX(0,AQ57))</f>
        <v>0</v>
      </c>
      <c r="AR55" s="121">
        <f>MIN(MAX(0,AR56),MAX(0,AR57))</f>
        <v>0</v>
      </c>
      <c r="AS55" s="120">
        <f>MIN(MAX(0,AS56),MAX(0,AS57))</f>
        <v>0</v>
      </c>
      <c r="AT55" s="122">
        <f>MIN(MAX(0,AT56),MAX(0,AT57))</f>
        <v>0</v>
      </c>
      <c r="AU55" s="122">
        <f>MIN(MAX(0,AU56),MAX(0,AU57))</f>
        <v>0</v>
      </c>
      <c r="AV55" s="317"/>
      <c r="AW55" s="324"/>
    </row>
    <row r="56" spans="2:49" ht="11.85" customHeight="1" x14ac:dyDescent="0.2">
      <c r="B56" s="182" t="s">
        <v>120</v>
      </c>
      <c r="C56" s="143" t="s">
        <v>452</v>
      </c>
      <c r="D56" s="115">
        <v>296037</v>
      </c>
      <c r="E56" s="116">
        <v>299590.69</v>
      </c>
      <c r="F56" s="116"/>
      <c r="G56" s="116"/>
      <c r="H56" s="116"/>
      <c r="I56" s="115">
        <v>296026</v>
      </c>
      <c r="J56" s="115">
        <v>654525</v>
      </c>
      <c r="K56" s="116">
        <v>657736.39</v>
      </c>
      <c r="L56" s="116"/>
      <c r="M56" s="116"/>
      <c r="N56" s="116"/>
      <c r="O56" s="115"/>
      <c r="P56" s="115">
        <v>484286</v>
      </c>
      <c r="Q56" s="116">
        <v>485683.4</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833681</v>
      </c>
      <c r="E57" s="116">
        <v>834062.79</v>
      </c>
      <c r="F57" s="116"/>
      <c r="G57" s="116"/>
      <c r="H57" s="116"/>
      <c r="I57" s="115">
        <v>833681</v>
      </c>
      <c r="J57" s="115">
        <v>2234482</v>
      </c>
      <c r="K57" s="116">
        <v>2527713.2400000002</v>
      </c>
      <c r="L57" s="116"/>
      <c r="M57" s="116"/>
      <c r="N57" s="116"/>
      <c r="O57" s="115"/>
      <c r="P57" s="115">
        <v>1243601</v>
      </c>
      <c r="Q57" s="116">
        <v>1394175.21</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3165585</v>
      </c>
      <c r="AT57" s="119"/>
      <c r="AU57" s="119"/>
      <c r="AV57" s="119"/>
      <c r="AW57" s="324"/>
    </row>
    <row r="58" spans="2:49" s="11" customFormat="1" x14ac:dyDescent="0.2">
      <c r="B58" s="190" t="s">
        <v>484</v>
      </c>
      <c r="C58" s="191"/>
      <c r="D58" s="192"/>
      <c r="E58" s="193">
        <v>30501346.680000011</v>
      </c>
      <c r="F58" s="193"/>
      <c r="G58" s="193"/>
      <c r="H58" s="193"/>
      <c r="I58" s="192">
        <v>30501347</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13495.65</v>
      </c>
      <c r="D5" s="124">
        <v>158210.49990000002</v>
      </c>
      <c r="E5" s="352"/>
      <c r="F5" s="352"/>
      <c r="G5" s="318"/>
      <c r="H5" s="123">
        <v>377732770.98000002</v>
      </c>
      <c r="I5" s="124">
        <v>439074473.19478244</v>
      </c>
      <c r="J5" s="352"/>
      <c r="K5" s="352"/>
      <c r="L5" s="318"/>
      <c r="M5" s="123">
        <v>259229969.39999998</v>
      </c>
      <c r="N5" s="124">
        <v>282620491.26981759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13378.409999999998</v>
      </c>
      <c r="D6" s="116">
        <v>118567.57190000002</v>
      </c>
      <c r="E6" s="121">
        <f>SUM('Pt 1 Summary of Data'!E$12,'Pt 1 Summary of Data'!E$22)+SUM('Pt 1 Summary of Data'!G$12,'Pt 1 Summary of Data'!G$22)-SUM('Pt 1 Summary of Data'!H$12,'Pt 1 Summary of Data'!H$22)</f>
        <v>306103062.88859993</v>
      </c>
      <c r="F6" s="121">
        <f>SUM(C6:E6)</f>
        <v>306235008.87049991</v>
      </c>
      <c r="G6" s="122">
        <f>SUM('Pt 1 Summary of Data'!I$12,'Pt 1 Summary of Data'!I$22)</f>
        <v>306011214</v>
      </c>
      <c r="H6" s="115">
        <v>380561882.11889052</v>
      </c>
      <c r="I6" s="116">
        <v>438275309.02757114</v>
      </c>
      <c r="J6" s="121">
        <f>SUM('Pt 1 Summary of Data'!K$12,'Pt 1 Summary of Data'!K$22)+SUM('Pt 1 Summary of Data'!M$12,'Pt 1 Summary of Data'!M$22)-SUM('Pt 1 Summary of Data'!N$12,'Pt 1 Summary of Data'!N$22)</f>
        <v>422881986.65261132</v>
      </c>
      <c r="K6" s="121">
        <f>SUM(H6:J6)</f>
        <v>1241719177.799073</v>
      </c>
      <c r="L6" s="122">
        <f>SUM('Pt 1 Summary of Data'!O$12,'Pt 1 Summary of Data'!O$22)</f>
        <v>0</v>
      </c>
      <c r="M6" s="115">
        <v>262780874.02110946</v>
      </c>
      <c r="N6" s="116">
        <v>283028635.32402891</v>
      </c>
      <c r="O6" s="121">
        <f>SUM('Pt 1 Summary of Data'!Q$12,'Pt 1 Summary of Data'!Q$22)+SUM('Pt 1 Summary of Data'!S$12,'Pt 1 Summary of Data'!S$22)-SUM('Pt 1 Summary of Data'!T$12,'Pt 1 Summary of Data'!T$22)</f>
        <v>294016897.4657886</v>
      </c>
      <c r="P6" s="121">
        <f>SUM(M6:O6)</f>
        <v>839826406.81092691</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f>SUM('Pt 1 Summary of Data'!AO$12,'Pt 1 Summary of Data'!AO$22)+SUM('Pt 1 Summary of Data'!AQ$12,'Pt 1 Summary of Data'!AQ$22)-SUM('Pt 1 Summary of Data'!AR$12,'Pt 1 Summary of Data'!AR$22)</f>
        <v>0</v>
      </c>
      <c r="AN6" s="259">
        <f>IF(AM$37&lt;75000,AL6+AM6,AM6)</f>
        <v>0</v>
      </c>
    </row>
    <row r="7" spans="1:40" x14ac:dyDescent="0.2">
      <c r="B7" s="197" t="s">
        <v>312</v>
      </c>
      <c r="C7" s="115">
        <v>-4289.6500000000005</v>
      </c>
      <c r="D7" s="116">
        <v>4379.8100000000004</v>
      </c>
      <c r="E7" s="121">
        <f>SUM('Pt 1 Summary of Data'!E$37:E$41)+SUM('Pt 1 Summary of Data'!G$37:G$41)-SUM('Pt 1 Summary of Data'!H$37:H$41)+MAX(0,MIN('Pt 1 Summary of Data'!E$42+'Pt 1 Summary of Data'!G$42-'Pt 1 Summary of Data'!H$42,0.3%*('Pt 1 Summary of Data'!E$5+'Pt 1 Summary of Data'!G$5-'Pt 1 Summary of Data'!H$5-SUM(E$9:E$11))))</f>
        <v>1469846.1</v>
      </c>
      <c r="F7" s="121">
        <f>SUM(C7:E7)</f>
        <v>1469936.26</v>
      </c>
      <c r="G7" s="122">
        <f>SUM('Pt 1 Summary of Data'!I$37:I$41)+MAX(0,MIN('Pt 1 Summary of Data'!I$42,0.3%*('Pt 1 Summary of Data'!I$5-SUM(G$9:G$10))))</f>
        <v>1469732</v>
      </c>
      <c r="H7" s="115">
        <v>11263078.800000001</v>
      </c>
      <c r="I7" s="116">
        <v>11603284.01</v>
      </c>
      <c r="J7" s="121">
        <f>SUM('Pt 1 Summary of Data'!K$37:K$41)+SUM('Pt 1 Summary of Data'!M$37:M$41)-SUM('Pt 1 Summary of Data'!N$37:N$41)+MAX(0,MIN('Pt 1 Summary of Data'!K$42+'Pt 1 Summary of Data'!M$42-'Pt 1 Summary of Data'!N$42,0.3%*('Pt 1 Summary of Data'!K$5+'Pt 1 Summary of Data'!M$5-'Pt 1 Summary of Data'!N$5-SUM(J$10:J$11))))</f>
        <v>10851953.91</v>
      </c>
      <c r="K7" s="121">
        <f>SUM(H7:J7)</f>
        <v>33718316.719999999</v>
      </c>
      <c r="L7" s="122">
        <f>SUM('Pt 1 Summary of Data'!O$37:O$41)+MAX(0,MIN('Pt 1 Summary of Data'!O$42,0.3%*('Pt 1 Summary of Data'!O$5-L$10)))</f>
        <v>0</v>
      </c>
      <c r="M7" s="115">
        <v>6766224.4000000004</v>
      </c>
      <c r="N7" s="116">
        <v>6403122.4599999981</v>
      </c>
      <c r="O7" s="121">
        <f>SUM('Pt 1 Summary of Data'!Q$37:Q$41)+SUM('Pt 1 Summary of Data'!S$37:S$41)-SUM('Pt 1 Summary of Data'!T$37:T$41)+MAX(0,MIN('Pt 1 Summary of Data'!Q$42+'Pt 1 Summary of Data'!S$42-'Pt 1 Summary of Data'!T$42,0.3%*('Pt 1 Summary of Data'!Q$5+'Pt 1 Summary of Data'!S$5-'Pt 1 Summary of Data'!T$5)))</f>
        <v>6214976.71</v>
      </c>
      <c r="P7" s="121">
        <f>SUM(M7:O7)</f>
        <v>19384323.57</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f>SUM('Pt 1 Summary of Data'!AO$37:AO$41)+SUM('Pt 1 Summary of Data'!AQ$37:AQ$41)-SUM('Pt 1 Summary of Data'!AR$37:AR$41)+MAX(0,MIN('Pt 1 Summary of Data'!AO$42+'Pt 1 Summary of Data'!AQ$42-'Pt 1 Summary of Data'!AR$42,0.3%*('Pt 1 Summary of Data'!AO$5+'Pt 1 Summary of Data'!AQ$5-'Pt 1 Summary of Data'!AR$5)))</f>
        <v>0</v>
      </c>
      <c r="AN7" s="259">
        <f>IF(AM$37&lt;75000,AL7+AM7,AM7)</f>
        <v>0</v>
      </c>
    </row>
    <row r="8" spans="1:40" x14ac:dyDescent="0.2">
      <c r="B8" s="197" t="s">
        <v>483</v>
      </c>
      <c r="C8" s="299"/>
      <c r="D8" s="295"/>
      <c r="E8" s="275">
        <v>30501346.680000011</v>
      </c>
      <c r="F8" s="275">
        <f>SUM(C8:E8)</f>
        <v>30501346.680000011</v>
      </c>
      <c r="G8" s="276">
        <v>30501347</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53329111.450000003</v>
      </c>
      <c r="F9" s="121">
        <f>SUM(C9:E9)</f>
        <v>53329111.450000003</v>
      </c>
      <c r="G9" s="122">
        <f>'Pt 2 Premium and Claims'!I$15</f>
        <v>53329111</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-38610710.600000001</v>
      </c>
      <c r="F10" s="121">
        <f>SUM(C10:E10)</f>
        <v>-38610710.600000001</v>
      </c>
      <c r="G10" s="122">
        <f>'Pt 2 Premium and Claims'!I$16</f>
        <v>-38610711</v>
      </c>
      <c r="H10" s="298"/>
      <c r="I10" s="294"/>
      <c r="J10" s="121">
        <f>'Pt 2 Premium and Claims'!K$16+'Pt 2 Premium and Claims'!M$16-'Pt 2 Premium and Claims'!N$16</f>
        <v>-1682294.43</v>
      </c>
      <c r="K10" s="121">
        <f>SUM(H10:J10)</f>
        <v>-1682294.43</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58529308</v>
      </c>
      <c r="F11" s="121">
        <f>SUM(C11:E11)</f>
        <v>58529308</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9088.7599999999984</v>
      </c>
      <c r="D12" s="121">
        <f>SUM(D$6:D$7)+IF(AND(OR('Company Information'!$C$12="District of Columbia",'Company Information'!$C$12="Massachusetts",'Company Information'!$C$12="Vermont"),SUM($C$6:$F$11,$C$15:$F$16,$C$37:$D$37)&lt;&gt;0),SUM(I$6:I$7),0)</f>
        <v>122947.38190000002</v>
      </c>
      <c r="E12" s="121">
        <f>SUM(E$6:E$7)-SUM(E$8:E$11)+IF(AND(OR('Company Information'!$C$12="District of Columbia",'Company Information'!$C$12="Massachusetts",'Company Information'!$C$12="Vermont"),SUM($C$6:$F$11,$C$15:$F$16,$C$37:$D$37)&lt;&gt;0),SUM(J$6:J$7)-SUM(J$10:J$11),0)</f>
        <v>203823853.45859995</v>
      </c>
      <c r="F12" s="121">
        <f>IFERROR(SUM(C$12:E$12)+C$17*MAX(0,E$49-C$49)+D$17*MAX(0,E$49-D$49),0)</f>
        <v>203955889.60049996</v>
      </c>
      <c r="G12" s="317"/>
      <c r="H12" s="120">
        <f>SUM(H$6:H$7)+IF(AND(OR('Company Information'!$C$12="District of Columbia",'Company Information'!$C$12="Massachusetts",'Company Information'!$C$12="Vermont"),SUM($H$6:$K$11,$H$15:$K$16,$H$37:$I$37)&lt;&gt;0),SUM(C$6:C$7),0)</f>
        <v>391824960.91889054</v>
      </c>
      <c r="I12" s="121">
        <f>SUM(I$6:I$7)+IF(AND(OR('Company Information'!$C$12="District of Columbia",'Company Information'!$C$12="Massachusetts",'Company Information'!$C$12="Vermont"),SUM($H$6:$K$11,$H$15:$K$16,$H$37:$I$37)&lt;&gt;0),SUM(D$6:D$7),0)</f>
        <v>449878593.03757113</v>
      </c>
      <c r="J12" s="121">
        <f>SUM(J$6:J$7)-SUM(J$10:J$11)+IF(AND(OR('Company Information'!$C$12="District of Columbia",'Company Information'!$C$12="Massachusetts",'Company Information'!$C$12="Vermont"),SUM($H$6:$K$11,$H$15:$K$16,$H$37:$I$37)&lt;&gt;0),SUM(E$6:E$7)-SUM(E$8:E$11),0)</f>
        <v>435416234.99261135</v>
      </c>
      <c r="K12" s="121">
        <f>IFERROR(SUM(H$12:J$12)+H$17*MAX(0,J$49-H$49)+I$17*MAX(0,J$49-I$49),0)</f>
        <v>1277119788.9490731</v>
      </c>
      <c r="L12" s="317"/>
      <c r="M12" s="120">
        <f>SUM(M$6:M$7)</f>
        <v>269547098.42110944</v>
      </c>
      <c r="N12" s="121">
        <f>SUM(N$6:N$7)</f>
        <v>289431757.78402889</v>
      </c>
      <c r="O12" s="121">
        <f>SUM(O$6:O$7)</f>
        <v>300231874.17578858</v>
      </c>
      <c r="P12" s="121">
        <f>SUM(M$12:O$12)+M$17*MAX(0,O$49-M$49)+N$17*MAX(0,O$49-N$49)</f>
        <v>859210730.38092685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f>SUM(AL$6:AL$7)</f>
        <v>0</v>
      </c>
      <c r="AM13" s="121">
        <f>SUM(AM$6:AM$7)</f>
        <v>0</v>
      </c>
      <c r="AN13" s="259">
        <f>IF(AM$37&lt;75000,AL$13+AM$13,AM$13)</f>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52206.83</v>
      </c>
      <c r="D15" s="124">
        <v>169512.41130772026</v>
      </c>
      <c r="E15" s="112">
        <f>SUM('Pt 1 Summary of Data'!E$5:E$7)+SUM('Pt 1 Summary of Data'!G$5:G$7)-SUM('Pt 1 Summary of Data'!H$5:H$7)-SUM(E$9:E$11)+D$55</f>
        <v>242292761.27806512</v>
      </c>
      <c r="F15" s="112">
        <f>SUM(C15:E15)</f>
        <v>242514480.51937282</v>
      </c>
      <c r="G15" s="113">
        <f>SUM('Pt 1 Summary of Data'!I$5:I$7)-SUM(G$9:G$10)</f>
        <v>242286333</v>
      </c>
      <c r="H15" s="123">
        <v>478935763.13</v>
      </c>
      <c r="I15" s="124">
        <v>546509913.63360667</v>
      </c>
      <c r="J15" s="112">
        <f>SUM('Pt 1 Summary of Data'!K$5:K$7)+SUM('Pt 1 Summary of Data'!M$5:M$7)-SUM('Pt 1 Summary of Data'!N$5:N$7)-SUM(J$10:J$11)+I$55</f>
        <v>549534085.14202857</v>
      </c>
      <c r="K15" s="112">
        <f>SUM(H15:J15)</f>
        <v>1574979761.9056354</v>
      </c>
      <c r="L15" s="113">
        <f>SUM('Pt 1 Summary of Data'!O$5:O$7)-L$10</f>
        <v>0</v>
      </c>
      <c r="M15" s="123">
        <v>308766821.27000004</v>
      </c>
      <c r="N15" s="124">
        <v>338506080.44362706</v>
      </c>
      <c r="O15" s="112">
        <f>SUM('Pt 1 Summary of Data'!Q$5:Q$7)+SUM('Pt 1 Summary of Data'!S$5:S$7)-SUM('Pt 1 Summary of Data'!T$5:T$7)+N$55</f>
        <v>339106228.85148603</v>
      </c>
      <c r="P15" s="112">
        <f>SUM(M15:O15)</f>
        <v>986379130.56511307</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f>SUM('Pt 1 Summary of Data'!AO$5:AO$7)+SUM('Pt 1 Summary of Data'!AQ$5:AQ$7)-SUM('Pt 1 Summary of Data'!AR$5:AR$7)+AL$55</f>
        <v>0</v>
      </c>
      <c r="AN15" s="260">
        <f>IF(AM$37&lt;75000,AL15+AM15,AM15)</f>
        <v>0</v>
      </c>
    </row>
    <row r="16" spans="1:40" x14ac:dyDescent="0.2">
      <c r="B16" s="197" t="s">
        <v>313</v>
      </c>
      <c r="C16" s="115">
        <v>19683</v>
      </c>
      <c r="D16" s="116">
        <v>21293.413523084015</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25469545.098693889</v>
      </c>
      <c r="F16" s="121">
        <f>SUM(C16:E16)</f>
        <v>25510521.512216974</v>
      </c>
      <c r="G16" s="122">
        <f>SUM('Pt 1 Summary of Data'!I$25:I$28,'Pt 1 Summary of Data'!I$30,'Pt 1 Summary of Data'!I$34:I$35)+IF('Company Information'!$C$15="No",IF(MAX('Pt 1 Summary of Data'!I$31:I$32)=0,MIN('Pt 1 Summary of Data'!I$31:I$32),MAX('Pt 1 Summary of Data'!I$31:I$32)),SUM('Pt 1 Summary of Data'!I$31:I$32))</f>
        <v>25300175</v>
      </c>
      <c r="H16" s="115">
        <v>9731055.4399999995</v>
      </c>
      <c r="I16" s="116">
        <v>13491666.433199866</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34344309.846422501</v>
      </c>
      <c r="K16" s="121">
        <f>SUM(H16:J16)</f>
        <v>57567031.719622366</v>
      </c>
      <c r="L16" s="122">
        <f>SUM('Pt 1 Summary of Data'!O$25:O$28,'Pt 1 Summary of Data'!O$30,'Pt 1 Summary of Data'!O$34:O$35)+IF('Company Information'!$C$15="No",IF(MAX('Pt 1 Summary of Data'!O$31:O$32)=0,MIN('Pt 1 Summary of Data'!O$31:O$32),MAX('Pt 1 Summary of Data'!O$31:O$32)),SUM('Pt 1 Summary of Data'!O$31:O$32))</f>
        <v>0</v>
      </c>
      <c r="M16" s="115">
        <v>5113412.8600000003</v>
      </c>
      <c r="N16" s="116">
        <v>4770986.337363204</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7769064.8350395197</v>
      </c>
      <c r="P16" s="121">
        <f>SUM(M16:O16)</f>
        <v>17653464.032402724</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9">
        <f>IF(AM$37&lt;75000,AL16+AM16,AM16)</f>
        <v>0</v>
      </c>
    </row>
    <row r="17" spans="1:40" s="82" customFormat="1" x14ac:dyDescent="0.2">
      <c r="A17" s="149"/>
      <c r="B17" s="198" t="s">
        <v>320</v>
      </c>
      <c r="C17" s="120">
        <f>C$15-C$16+IF(AND(OR('Company Information'!$C$12="District of Columbia",'Company Information'!$C$12="Massachusetts",'Company Information'!$C$12="Vermont"),SUM($C$6:$F$11,$C$15:$F$16,$C$37:$D$37)&lt;&gt;0),H$15-H$16,0)</f>
        <v>32523.83</v>
      </c>
      <c r="D17" s="121">
        <f>D$15-D$16+IF(AND(OR('Company Information'!$C$12="District of Columbia",'Company Information'!$C$12="Massachusetts",'Company Information'!$C$12="Vermont"),SUM($C$6:$F$11,$C$15:$F$16,$C$37:$D$37)&lt;&gt;0),I$15-I$16,0)</f>
        <v>148218.99778463625</v>
      </c>
      <c r="E17" s="121">
        <f>E$15-E$16+IF(AND(OR('Company Information'!$C$12="District of Columbia",'Company Information'!$C$12="Massachusetts",'Company Information'!$C$12="Vermont"),SUM($C$6:$F$11,$C$15:$F$16,$C$37:$D$37)&lt;&gt;0),J$15-J$16,0)</f>
        <v>216823216.17937124</v>
      </c>
      <c r="F17" s="121">
        <f>F$15-F$16+IF(AND(OR('Company Information'!$C$12="District of Columbia",'Company Information'!$C$12="Massachusetts",'Company Information'!$C$12="Vermont"),SUM($C$6:$F$11,$C$15:$F$16,$C$37:$D$37)&lt;&gt;0),K$15-K$16,0)</f>
        <v>217003959.00715584</v>
      </c>
      <c r="G17" s="320"/>
      <c r="H17" s="120">
        <f>H$15-H$16+IF(AND(OR('Company Information'!$C$12="District of Columbia",'Company Information'!$C$12="Massachusetts",'Company Information'!$C$12="Vermont"),SUM($H$6:$K$11,$H$15:$K$16,$H$37:$I$37)&lt;&gt;0),C$15-C$16,0)</f>
        <v>469204707.69</v>
      </c>
      <c r="I17" s="121">
        <f>I$15-I$16+IF(AND(OR('Company Information'!$C$12="District of Columbia",'Company Information'!$C$12="Massachusetts",'Company Information'!$C$12="Vermont"),SUM($H$6:$K$11,$H$15:$K$16,$H$37:$I$37)&lt;&gt;0),D$15-D$16,0)</f>
        <v>533018247.20040679</v>
      </c>
      <c r="J17" s="121">
        <f>J$15-J$16+IF(AND(OR('Company Information'!$C$12="District of Columbia",'Company Information'!$C$12="Massachusetts",'Company Information'!$C$12="Vermont"),SUM($H$6:$K$11,$H$15:$K$16,$H$37:$I$37)&lt;&gt;0),E$15-E$16,0)</f>
        <v>515189775.29560608</v>
      </c>
      <c r="K17" s="121">
        <f>K$15-K$16+IF(AND(OR('Company Information'!$C$12="District of Columbia",'Company Information'!$C$12="Massachusetts",'Company Information'!$C$12="Vermont"),SUM($H$6:$K$11,$H$15:$K$16,$H$37:$I$37)&lt;&gt;0),F$15-F$16,0)</f>
        <v>1517412730.186013</v>
      </c>
      <c r="L17" s="320"/>
      <c r="M17" s="120">
        <f>M$15-M$16</f>
        <v>303653408.41000003</v>
      </c>
      <c r="N17" s="121">
        <f>N$15-N$16</f>
        <v>333735094.10626388</v>
      </c>
      <c r="O17" s="121">
        <f>O$15-O$16</f>
        <v>331337164.01644653</v>
      </c>
      <c r="P17" s="121">
        <f>P$15-P$16</f>
        <v>968725666.53271031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f>AL$15-AL$16</f>
        <v>0</v>
      </c>
      <c r="AM17" s="121">
        <f>AM$15-AM$16</f>
        <v>0</v>
      </c>
      <c r="AN17" s="259">
        <f>AN$15-AN$16</f>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262261199</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33776335</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1.2086540515639712</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3.0599999999999999E-2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13149361.174800001</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-79051376</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13149361.174800001</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72225871.174800009</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72225871.174800009</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75337183.034799993</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68697406.599999994</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170060461.82519999</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68697406.599999994</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173588926.40000001</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1.510817564454964</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64167850</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58529308</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2.6666666666666665</v>
      </c>
      <c r="D37" s="128">
        <v>74</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72572.75</v>
      </c>
      <c r="F37" s="262">
        <f>SUM(C$37:E$37)+IF(AND(OR('Company Information'!$C$12="District of Columbia",'Company Information'!$C$12="Massachusetts",'Company Information'!$C$12="Vermont"),SUM($C$6:$F$11,$C$15:$F$16,$C$37:$D$37)&lt;&gt;0,SUM(C$37:D$37)&lt;&gt;SUM(H$37:I$37)),SUM(H$37:I$37),0)</f>
        <v>72649.416666666672</v>
      </c>
      <c r="G37" s="318"/>
      <c r="H37" s="127">
        <v>124546.58333333333</v>
      </c>
      <c r="I37" s="128">
        <v>136490</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127396.41666666667</v>
      </c>
      <c r="K37" s="262">
        <f>SUM(H$37:J$37)+IF(AND(OR('Company Information'!$C$12="District of Columbia",'Company Information'!$C$12="Massachusetts",'Company Information'!$C$12="Vermont"),SUM($H$6:$K$11,$H$15:$K$16,$H$37:$I$37)&lt;&gt;0,SUM(H$37:I$37)&lt;&gt;SUM(C$37:D$37)),SUM(C$37:D$37),0)</f>
        <v>388433</v>
      </c>
      <c r="L37" s="318"/>
      <c r="M37" s="127">
        <v>73932.416666666672</v>
      </c>
      <c r="N37" s="128">
        <v>79314</v>
      </c>
      <c r="O37" s="262">
        <f>('Pt 1 Summary of Data'!Q$59+'Pt 1 Summary of Data'!S$59-'Pt 1 Summary of Data'!T$59)/12</f>
        <v>74293.666666666672</v>
      </c>
      <c r="P37" s="262">
        <f>SUM(M$37:O$37)</f>
        <v>227540.08333333337</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f>('Pt 1 Summary of Data'!AO$59+'Pt 1 Summary of Data'!AQ$59-'Pt 1 Summary of Data'!AR$59)/12</f>
        <v>0</v>
      </c>
      <c r="AN37" s="263">
        <f>IF(AM$37&lt;75000,AL37+AM37,AM37)</f>
        <v>0</v>
      </c>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1.1282799999999971E-3</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203" t="s">
        <v>323</v>
      </c>
      <c r="C39" s="298"/>
      <c r="D39" s="294"/>
      <c r="E39" s="294"/>
      <c r="F39" s="116">
        <v>8712.5</v>
      </c>
      <c r="G39" s="317"/>
      <c r="H39" s="298"/>
      <c r="I39" s="294"/>
      <c r="J39" s="294"/>
      <c r="K39" s="116">
        <v>2661.3681009758043</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1.6499950000000001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1.1793622432128965</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7" t="s">
        <v>325</v>
      </c>
      <c r="C41" s="298"/>
      <c r="D41" s="294"/>
      <c r="E41" s="294"/>
      <c r="F41" s="266">
        <f ca="1">IF(OR(F$37&lt;1000,F$37&gt;=75000),0,F$38*F$40)</f>
        <v>1.8616563585999953E-3</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f>IF(OR(AN$37&lt;1000,AN$37&gt;=75000),0,AN$38*AN$40)</f>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0.94004626003694503</v>
      </c>
      <c r="F44" s="266">
        <f>IF(OR(F$37&lt;1000,F$17&lt;=0),"",F$12/F$17)</f>
        <v>0.93987174489187264</v>
      </c>
      <c r="G44" s="317"/>
      <c r="H44" s="268">
        <f>IF(OR(H$37&lt;1000,H$17&lt;=0),"",H$12/H$17)</f>
        <v>0.83508318330379228</v>
      </c>
      <c r="I44" s="266">
        <f>IF(OR(I$37&lt;1000,I$17&lt;=0),"",I$12/I$17)</f>
        <v>0.84402099815622933</v>
      </c>
      <c r="J44" s="266">
        <f>IF(OR(J$37&lt;1000,J$17&lt;=0),"",J$12/J$17)</f>
        <v>0.84515698073157175</v>
      </c>
      <c r="K44" s="266">
        <f>IF(OR(K$37&lt;1000,K$17&lt;=0),"",K$12/K$17)</f>
        <v>0.84164299108820351</v>
      </c>
      <c r="L44" s="317"/>
      <c r="M44" s="268">
        <f>IF(OR(M$37&lt;1000,M$17&lt;=0),"",M$12/M$17)</f>
        <v>0.88768013450769689</v>
      </c>
      <c r="N44" s="266">
        <f>IF(OR(N$37&lt;1000,N$17&lt;=0),"",N$12/N$17)</f>
        <v>0.86724999227043098</v>
      </c>
      <c r="O44" s="266">
        <f>IF(OR(O$37&lt;1000,O$17&lt;=0),"",O$12/O$17)</f>
        <v>0.9061219409751633</v>
      </c>
      <c r="P44" s="266">
        <f>IF(OR(P$37&lt;1000,P$17&lt;=0),"",P$12/P$17)</f>
        <v>0.88694948432226184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t="str">
        <f>IF(OR(AL$37&lt;1000,AL$17&lt;=0),"",AL$13/AL$17)</f>
        <v/>
      </c>
      <c r="AM45" s="266" t="str">
        <f>IF(OR(AM$37&lt;1000,AM$17&lt;=0),"",AM$13/AM$17)</f>
        <v/>
      </c>
      <c r="AN45" s="267" t="str">
        <f>IF(OR(AN$37&lt;1000,AN$17&lt;=0),"",AN$13/AN$17)</f>
        <v/>
      </c>
    </row>
    <row r="46" spans="1:40" x14ac:dyDescent="0.2">
      <c r="B46" s="203" t="s">
        <v>330</v>
      </c>
      <c r="C46" s="298"/>
      <c r="D46" s="294"/>
      <c r="E46" s="294"/>
      <c r="F46" s="266">
        <f ca="1">IF(F$44="","",F$41)</f>
        <v>1.8616563585999953E-3</v>
      </c>
      <c r="G46" s="317"/>
      <c r="H46" s="298"/>
      <c r="I46" s="294"/>
      <c r="J46" s="294"/>
      <c r="K46" s="266">
        <f>IF(K$44="","",K$41)</f>
        <v>0</v>
      </c>
      <c r="L46" s="317"/>
      <c r="M46" s="298"/>
      <c r="N46" s="294"/>
      <c r="O46" s="294"/>
      <c r="P46" s="266">
        <f>IF(P$44="","",P$41)</f>
        <v>0</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t="str">
        <f>IF(AN$45="","",AN$41)</f>
        <v/>
      </c>
    </row>
    <row r="47" spans="1:40" s="82" customFormat="1" x14ac:dyDescent="0.2">
      <c r="A47" s="149"/>
      <c r="B47" s="205" t="s">
        <v>329</v>
      </c>
      <c r="C47" s="298"/>
      <c r="D47" s="294"/>
      <c r="E47" s="294"/>
      <c r="F47" s="266">
        <f ca="1">IF(F$44="","",ROUND(F$44+MAX(0,F$46),3))</f>
        <v>0.94199999999999995</v>
      </c>
      <c r="G47" s="317"/>
      <c r="H47" s="298"/>
      <c r="I47" s="294"/>
      <c r="J47" s="294"/>
      <c r="K47" s="266">
        <f>IF(K$44="","",ROUND(K$44+MAX(0,K$46),3))</f>
        <v>0.84199999999999997</v>
      </c>
      <c r="L47" s="317"/>
      <c r="M47" s="298"/>
      <c r="N47" s="294"/>
      <c r="O47" s="294"/>
      <c r="P47" s="266">
        <f>IF(P$44="","",ROUND(P$44+MAX(0,P$46),3))</f>
        <v>0.88700000000000001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t="str">
        <f>IF(AN$45="","",ROUND(AN$45+MAX(0,AN$46),3))</f>
        <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v>
      </c>
      <c r="D49" s="147">
        <v>0</v>
      </c>
      <c r="E49" s="147">
        <v>0</v>
      </c>
      <c r="F49" s="147">
        <v>0</v>
      </c>
      <c r="G49" s="318"/>
      <c r="H49" s="146">
        <v>0</v>
      </c>
      <c r="I49" s="147">
        <v>0</v>
      </c>
      <c r="J49" s="147">
        <v>0</v>
      </c>
      <c r="K49" s="147">
        <v>0</v>
      </c>
      <c r="L49" s="318"/>
      <c r="M49" s="146">
        <v>0</v>
      </c>
      <c r="N49" s="147">
        <v>0</v>
      </c>
      <c r="O49" s="147">
        <v>0</v>
      </c>
      <c r="P49" s="147">
        <v>0</v>
      </c>
      <c r="Q49" s="146">
        <v>0</v>
      </c>
      <c r="R49" s="147">
        <v>0</v>
      </c>
      <c r="S49" s="147">
        <v>0</v>
      </c>
      <c r="T49" s="147">
        <v>0</v>
      </c>
      <c r="U49" s="146">
        <v>0</v>
      </c>
      <c r="V49" s="147">
        <v>0</v>
      </c>
      <c r="W49" s="147">
        <v>0</v>
      </c>
      <c r="X49" s="147">
        <v>0</v>
      </c>
      <c r="Y49" s="146">
        <v>0</v>
      </c>
      <c r="Z49" s="147">
        <v>0</v>
      </c>
      <c r="AA49" s="147">
        <v>0</v>
      </c>
      <c r="AB49" s="147">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0.94199999999999995</v>
      </c>
      <c r="G50" s="317"/>
      <c r="H50" s="299"/>
      <c r="I50" s="295"/>
      <c r="J50" s="295"/>
      <c r="K50" s="266">
        <f>K$47</f>
        <v>0.84199999999999997</v>
      </c>
      <c r="L50" s="317"/>
      <c r="M50" s="299"/>
      <c r="N50" s="295"/>
      <c r="O50" s="295"/>
      <c r="P50" s="266">
        <f>P$47</f>
        <v>0.88700000000000001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t="str">
        <f>AN$47</f>
        <v/>
      </c>
    </row>
    <row r="51" spans="1:40" x14ac:dyDescent="0.2">
      <c r="B51" s="201" t="s">
        <v>334</v>
      </c>
      <c r="C51" s="298"/>
      <c r="D51" s="294"/>
      <c r="E51" s="294"/>
      <c r="F51" s="121">
        <f>IF(F$37&lt;1000,"",MAX(0,E$15-E$16))</f>
        <v>216823216.17937124</v>
      </c>
      <c r="G51" s="317"/>
      <c r="H51" s="298"/>
      <c r="I51" s="294"/>
      <c r="J51" s="294"/>
      <c r="K51" s="121">
        <f>IF(K$37&lt;1000,"",MAX(0,J$15-J$16))</f>
        <v>515189775.29560608</v>
      </c>
      <c r="L51" s="317"/>
      <c r="M51" s="298"/>
      <c r="N51" s="294"/>
      <c r="O51" s="294"/>
      <c r="P51" s="121">
        <f>IF(P$37&lt;1000,"",MAX(0,O$15-O$16))</f>
        <v>331337164.01644653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t="str">
        <f>IF(AN$37&lt;1000,"",MAX(0,AM$15-AM$16))</f>
        <v/>
      </c>
    </row>
    <row r="52" spans="1:40" s="82" customFormat="1" ht="26.25" customHeight="1" x14ac:dyDescent="0.2">
      <c r="A52" s="149"/>
      <c r="B52" s="198" t="s">
        <v>335</v>
      </c>
      <c r="C52" s="298"/>
      <c r="D52" s="294"/>
      <c r="E52" s="294"/>
      <c r="F52" s="121">
        <f ca="1">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f>IF(OR(AN$37&lt;1000,AN$17&lt;=0),0,MAX(0,AN$49-AN$50)*AN$51)</f>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755.08869217977394</v>
      </c>
      <c r="E55" s="294"/>
      <c r="F55" s="294"/>
      <c r="G55" s="317"/>
      <c r="H55" s="298"/>
      <c r="I55" s="116">
        <v>3565513.1656207698</v>
      </c>
      <c r="J55" s="294"/>
      <c r="K55" s="294"/>
      <c r="L55" s="317"/>
      <c r="M55" s="298"/>
      <c r="N55" s="116">
        <v>1306111.4716236182</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94.586476915983894</v>
      </c>
      <c r="E56" s="294"/>
      <c r="F56" s="294"/>
      <c r="G56" s="317"/>
      <c r="H56" s="298"/>
      <c r="I56" s="116">
        <v>87619.547259832543</v>
      </c>
      <c r="J56" s="294"/>
      <c r="K56" s="294"/>
      <c r="L56" s="317"/>
      <c r="M56" s="298"/>
      <c r="N56" s="116">
        <v>18328.760494732291</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56653</v>
      </c>
      <c r="D4" s="155">
        <f>'Pt 1 Summary of Data'!$K$56+'Pt 1 Summary of Data'!$M$56-'Pt 1 Summary of Data'!$N$56</f>
        <v>77023</v>
      </c>
      <c r="E4" s="155">
        <f>'Pt 1 Summary of Data'!$Q$56+'Pt 1 Summary of Data'!$S$56-'Pt 1 Summary of Data'!$T$56</f>
        <v>42040</v>
      </c>
      <c r="F4" s="155">
        <f>'Pt 1 Summary of Data'!$V$56</f>
        <v>0</v>
      </c>
      <c r="G4" s="155">
        <f>'Pt 1 Summary of Data'!$Y$56</f>
        <v>0</v>
      </c>
      <c r="H4" s="155">
        <f>'Pt 1 Summary of Data'!$AB$56</f>
        <v>0</v>
      </c>
      <c r="I4" s="370"/>
      <c r="J4" s="370"/>
      <c r="K4" s="214">
        <f>'Pt 1 Summary of Data'!$AO$56+'Pt 1 Summary of Data'!$AQ$56-'Pt 1 Summary of Data'!$AR$56</f>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v>0</v>
      </c>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t="s">
        <v>506</v>
      </c>
      <c r="C9" s="34"/>
      <c r="D9" s="35"/>
      <c r="E9" s="35"/>
      <c r="F9" s="35"/>
      <c r="G9" s="35"/>
      <c r="H9" s="35"/>
      <c r="I9" s="33"/>
      <c r="J9" s="33"/>
      <c r="K9" s="8"/>
    </row>
    <row r="10" spans="1:12" s="11" customFormat="1" ht="18" customHeight="1" x14ac:dyDescent="0.2">
      <c r="B10" s="72" t="s">
        <v>507</v>
      </c>
      <c r="C10" s="34"/>
      <c r="D10" s="35"/>
      <c r="E10" s="35"/>
      <c r="F10" s="35"/>
      <c r="G10" s="35"/>
      <c r="H10" s="35"/>
      <c r="I10" s="33"/>
      <c r="J10" s="33"/>
      <c r="K10" s="8"/>
    </row>
    <row r="11" spans="1:12" s="11" customFormat="1" ht="18" customHeight="1" x14ac:dyDescent="0.2">
      <c r="B11" s="72" t="s">
        <v>504</v>
      </c>
      <c r="C11" s="34"/>
      <c r="D11" s="35"/>
      <c r="E11" s="35"/>
      <c r="F11" s="35"/>
      <c r="G11" s="35"/>
      <c r="H11" s="35"/>
      <c r="I11" s="33"/>
      <c r="J11" s="33"/>
      <c r="K11" s="8"/>
    </row>
    <row r="12" spans="1:12" s="11" customFormat="1" ht="18" customHeight="1" x14ac:dyDescent="0.2">
      <c r="B12" s="72" t="s">
        <v>508</v>
      </c>
      <c r="C12" s="34"/>
      <c r="D12" s="35"/>
      <c r="E12" s="35"/>
      <c r="F12" s="35"/>
      <c r="G12" s="35"/>
      <c r="H12" s="35"/>
      <c r="I12" s="33"/>
      <c r="J12" s="33"/>
      <c r="K12" s="8"/>
    </row>
    <row r="13" spans="1:12" s="11" customFormat="1" ht="18" customHeight="1" x14ac:dyDescent="0.2">
      <c r="B13" s="72" t="s">
        <v>509</v>
      </c>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504</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510</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511</v>
      </c>
      <c r="E27" s="13"/>
    </row>
    <row r="28" spans="2:5" ht="35.25" customHeight="1" x14ac:dyDescent="0.2">
      <c r="B28" s="225"/>
      <c r="C28" s="156"/>
      <c r="D28" s="228" t="s">
        <v>512</v>
      </c>
      <c r="E28" s="13"/>
    </row>
    <row r="29" spans="2:5" ht="35.25" customHeight="1" x14ac:dyDescent="0.2">
      <c r="B29" s="225"/>
      <c r="C29" s="156"/>
      <c r="D29" s="228" t="s">
        <v>513</v>
      </c>
      <c r="E29" s="13"/>
    </row>
    <row r="30" spans="2:5" ht="35.25" customHeight="1" x14ac:dyDescent="0.2">
      <c r="B30" s="225"/>
      <c r="C30" s="156"/>
      <c r="D30" s="228" t="s">
        <v>514</v>
      </c>
      <c r="E30" s="13"/>
    </row>
    <row r="31" spans="2:5" ht="35.25" customHeight="1" x14ac:dyDescent="0.2">
      <c r="B31" s="225"/>
      <c r="C31" s="156"/>
      <c r="D31" s="228" t="s">
        <v>515</v>
      </c>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516</v>
      </c>
      <c r="E34" s="13"/>
    </row>
    <row r="35" spans="2:5" ht="35.25" customHeight="1" x14ac:dyDescent="0.2">
      <c r="B35" s="225"/>
      <c r="C35" s="156"/>
      <c r="D35" s="228" t="s">
        <v>517</v>
      </c>
      <c r="E35" s="13"/>
    </row>
    <row r="36" spans="2:5" ht="35.25" customHeight="1" x14ac:dyDescent="0.2">
      <c r="B36" s="225"/>
      <c r="C36" s="156"/>
      <c r="D36" s="228" t="s">
        <v>518</v>
      </c>
      <c r="E36" s="13"/>
    </row>
    <row r="37" spans="2:5" ht="35.25" customHeight="1" x14ac:dyDescent="0.2">
      <c r="B37" s="225"/>
      <c r="C37" s="156"/>
      <c r="D37" s="228" t="s">
        <v>519</v>
      </c>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520</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521</v>
      </c>
      <c r="E48" s="13"/>
    </row>
    <row r="49" spans="2:5" ht="35.25" customHeight="1" x14ac:dyDescent="0.2">
      <c r="B49" s="225"/>
      <c r="C49" s="156"/>
      <c r="D49" s="228" t="s">
        <v>522</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523</v>
      </c>
      <c r="E56" s="13"/>
    </row>
    <row r="57" spans="2:5" ht="35.25" customHeight="1" x14ac:dyDescent="0.2">
      <c r="B57" s="225"/>
      <c r="C57" s="158"/>
      <c r="D57" s="228" t="s">
        <v>524</v>
      </c>
      <c r="E57" s="13"/>
    </row>
    <row r="58" spans="2:5" ht="35.25" customHeight="1" x14ac:dyDescent="0.2">
      <c r="B58" s="225"/>
      <c r="C58" s="158"/>
      <c r="D58" s="228" t="s">
        <v>525</v>
      </c>
      <c r="E58" s="13"/>
    </row>
    <row r="59" spans="2:5" ht="35.25" customHeight="1" x14ac:dyDescent="0.2">
      <c r="B59" s="225"/>
      <c r="C59" s="158"/>
      <c r="D59" s="228" t="s">
        <v>526</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523</v>
      </c>
      <c r="E67" s="13"/>
    </row>
    <row r="68" spans="2:5" ht="35.25" customHeight="1" x14ac:dyDescent="0.2">
      <c r="B68" s="225"/>
      <c r="C68" s="158"/>
      <c r="D68" s="228" t="s">
        <v>524</v>
      </c>
      <c r="E68" s="13"/>
    </row>
    <row r="69" spans="2:5" ht="35.25" customHeight="1" x14ac:dyDescent="0.2">
      <c r="B69" s="225"/>
      <c r="C69" s="158"/>
      <c r="D69" s="228" t="s">
        <v>525</v>
      </c>
      <c r="E69" s="13"/>
    </row>
    <row r="70" spans="2:5" ht="35.25" customHeight="1" x14ac:dyDescent="0.2">
      <c r="B70" s="225"/>
      <c r="C70" s="158"/>
      <c r="D70" s="228" t="s">
        <v>526</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523</v>
      </c>
      <c r="E78" s="13"/>
    </row>
    <row r="79" spans="2:5" ht="35.25" customHeight="1" x14ac:dyDescent="0.2">
      <c r="B79" s="225"/>
      <c r="C79" s="158"/>
      <c r="D79" s="228" t="s">
        <v>524</v>
      </c>
      <c r="E79" s="13"/>
    </row>
    <row r="80" spans="2:5" ht="35.25" customHeight="1" x14ac:dyDescent="0.2">
      <c r="B80" s="225"/>
      <c r="C80" s="158"/>
      <c r="D80" s="228" t="s">
        <v>525</v>
      </c>
      <c r="E80" s="13"/>
    </row>
    <row r="81" spans="2:5" ht="35.25" customHeight="1" x14ac:dyDescent="0.2">
      <c r="B81" s="225"/>
      <c r="C81" s="158"/>
      <c r="D81" s="228" t="s">
        <v>526</v>
      </c>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523</v>
      </c>
      <c r="E89" s="13"/>
    </row>
    <row r="90" spans="2:5" ht="35.25" customHeight="1" x14ac:dyDescent="0.2">
      <c r="B90" s="225"/>
      <c r="C90" s="158"/>
      <c r="D90" s="228" t="s">
        <v>524</v>
      </c>
      <c r="E90" s="13"/>
    </row>
    <row r="91" spans="2:5" ht="35.25" customHeight="1" x14ac:dyDescent="0.2">
      <c r="B91" s="225"/>
      <c r="C91" s="158"/>
      <c r="D91" s="228" t="s">
        <v>525</v>
      </c>
      <c r="E91" s="13"/>
    </row>
    <row r="92" spans="2:5" ht="35.25" customHeight="1" x14ac:dyDescent="0.2">
      <c r="B92" s="225"/>
      <c r="C92" s="158"/>
      <c r="D92" s="228" t="s">
        <v>526</v>
      </c>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527</v>
      </c>
      <c r="E100" s="13"/>
    </row>
    <row r="101" spans="2:5" ht="35.25" customHeight="1" x14ac:dyDescent="0.2">
      <c r="B101" s="225"/>
      <c r="C101" s="158"/>
      <c r="D101" s="228" t="s">
        <v>528</v>
      </c>
      <c r="E101" s="13"/>
    </row>
    <row r="102" spans="2:5" ht="35.25" customHeight="1" x14ac:dyDescent="0.2">
      <c r="B102" s="225"/>
      <c r="C102" s="158"/>
      <c r="D102" s="228" t="s">
        <v>529</v>
      </c>
      <c r="E102" s="13"/>
    </row>
    <row r="103" spans="2:5" ht="35.25" customHeight="1" x14ac:dyDescent="0.2">
      <c r="B103" s="225"/>
      <c r="C103" s="158"/>
      <c r="D103" s="228" t="s">
        <v>530</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523</v>
      </c>
      <c r="E111" s="33"/>
    </row>
    <row r="112" spans="2:5" s="11" customFormat="1" ht="35.25" customHeight="1" x14ac:dyDescent="0.2">
      <c r="B112" s="225"/>
      <c r="C112" s="158"/>
      <c r="D112" s="228" t="s">
        <v>524</v>
      </c>
      <c r="E112" s="33"/>
    </row>
    <row r="113" spans="2:5" s="11" customFormat="1" ht="35.25" customHeight="1" x14ac:dyDescent="0.2">
      <c r="B113" s="225"/>
      <c r="C113" s="158"/>
      <c r="D113" s="228" t="s">
        <v>525</v>
      </c>
      <c r="E113" s="33"/>
    </row>
    <row r="114" spans="2:5" s="11" customFormat="1" ht="35.25" customHeight="1" x14ac:dyDescent="0.2">
      <c r="B114" s="225"/>
      <c r="C114" s="158"/>
      <c r="D114" s="228" t="s">
        <v>526</v>
      </c>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523</v>
      </c>
      <c r="E123" s="13"/>
    </row>
    <row r="124" spans="2:5" s="11" customFormat="1" ht="35.25" customHeight="1" x14ac:dyDescent="0.2">
      <c r="B124" s="225"/>
      <c r="C124" s="156"/>
      <c r="D124" s="228" t="s">
        <v>524</v>
      </c>
      <c r="E124" s="33"/>
    </row>
    <row r="125" spans="2:5" s="11" customFormat="1" ht="35.25" customHeight="1" x14ac:dyDescent="0.2">
      <c r="B125" s="225"/>
      <c r="C125" s="156"/>
      <c r="D125" s="228" t="s">
        <v>525</v>
      </c>
      <c r="E125" s="33"/>
    </row>
    <row r="126" spans="2:5" s="11" customFormat="1" ht="35.25" customHeight="1" x14ac:dyDescent="0.2">
      <c r="B126" s="225"/>
      <c r="C126" s="156"/>
      <c r="D126" s="228" t="s">
        <v>526</v>
      </c>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523</v>
      </c>
      <c r="E134" s="33"/>
    </row>
    <row r="135" spans="2:5" s="11" customFormat="1" ht="35.25" customHeight="1" x14ac:dyDescent="0.2">
      <c r="B135" s="225"/>
      <c r="C135" s="156"/>
      <c r="D135" s="228" t="s">
        <v>524</v>
      </c>
      <c r="E135" s="33"/>
    </row>
    <row r="136" spans="2:5" s="11" customFormat="1" ht="35.25" customHeight="1" x14ac:dyDescent="0.2">
      <c r="B136" s="225"/>
      <c r="C136" s="156"/>
      <c r="D136" s="228" t="s">
        <v>525</v>
      </c>
      <c r="E136" s="33"/>
    </row>
    <row r="137" spans="2:5" s="11" customFormat="1" ht="35.25" customHeight="1" x14ac:dyDescent="0.2">
      <c r="B137" s="225"/>
      <c r="C137" s="156"/>
      <c r="D137" s="228" t="s">
        <v>526</v>
      </c>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524</v>
      </c>
      <c r="E145" s="33"/>
    </row>
    <row r="146" spans="2:5" s="11" customFormat="1" ht="35.25" customHeight="1" x14ac:dyDescent="0.2">
      <c r="B146" s="225"/>
      <c r="C146" s="156"/>
      <c r="D146" s="228" t="s">
        <v>525</v>
      </c>
      <c r="E146" s="33"/>
    </row>
    <row r="147" spans="2:5" s="11" customFormat="1" ht="35.25" customHeight="1" x14ac:dyDescent="0.2">
      <c r="B147" s="225"/>
      <c r="C147" s="156"/>
      <c r="D147" s="228" t="s">
        <v>526</v>
      </c>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531</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524</v>
      </c>
      <c r="E167" s="33"/>
    </row>
    <row r="168" spans="2:5" s="11" customFormat="1" ht="35.25" customHeight="1" x14ac:dyDescent="0.2">
      <c r="B168" s="225"/>
      <c r="C168" s="156"/>
      <c r="D168" s="228" t="s">
        <v>525</v>
      </c>
      <c r="E168" s="33"/>
    </row>
    <row r="169" spans="2:5" s="11" customFormat="1" ht="35.25" customHeight="1" x14ac:dyDescent="0.2">
      <c r="B169" s="225"/>
      <c r="C169" s="156"/>
      <c r="D169" s="228" t="s">
        <v>526</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524</v>
      </c>
      <c r="E178" s="33"/>
    </row>
    <row r="179" spans="2:5" s="11" customFormat="1" ht="35.25" customHeight="1" x14ac:dyDescent="0.2">
      <c r="B179" s="225"/>
      <c r="C179" s="156"/>
      <c r="D179" s="228" t="s">
        <v>525</v>
      </c>
      <c r="E179" s="33"/>
    </row>
    <row r="180" spans="2:5" s="11" customFormat="1" ht="35.25" customHeight="1" x14ac:dyDescent="0.2">
      <c r="B180" s="225"/>
      <c r="C180" s="156"/>
      <c r="D180" s="228" t="s">
        <v>526</v>
      </c>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520</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523</v>
      </c>
      <c r="E200" s="33"/>
    </row>
    <row r="201" spans="2:5" s="11" customFormat="1" ht="35.25" customHeight="1" x14ac:dyDescent="0.2">
      <c r="B201" s="225"/>
      <c r="C201" s="156"/>
      <c r="D201" s="228" t="s">
        <v>524</v>
      </c>
      <c r="E201" s="33"/>
    </row>
    <row r="202" spans="2:5" s="11" customFormat="1" ht="35.25" customHeight="1" x14ac:dyDescent="0.2">
      <c r="B202" s="225"/>
      <c r="C202" s="156"/>
      <c r="D202" s="228" t="s">
        <v>525</v>
      </c>
      <c r="E202" s="33"/>
    </row>
    <row r="203" spans="2:5" s="11" customFormat="1" ht="35.25" customHeight="1" x14ac:dyDescent="0.2">
      <c r="B203" s="225"/>
      <c r="C203" s="156"/>
      <c r="D203" s="228" t="s">
        <v>526</v>
      </c>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