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T38" i="10" l="1"/>
  <c r="E11" i="16"/>
  <c r="H4" i="16"/>
  <c r="G4" i="16"/>
  <c r="F4" i="16"/>
  <c r="E4" i="16"/>
  <c r="D4" i="16"/>
  <c r="C4" i="16"/>
  <c r="AB52" i="10"/>
  <c r="H11" i="16" s="1"/>
  <c r="X52" i="10"/>
  <c r="G11" i="16" s="1"/>
  <c r="T52" i="10"/>
  <c r="F11" i="16" s="1"/>
  <c r="P52" i="10"/>
  <c r="AB51" i="10"/>
  <c r="X51" i="10"/>
  <c r="T51" i="10"/>
  <c r="P51" i="10"/>
  <c r="P50" i="10"/>
  <c r="P47" i="10"/>
  <c r="P46" i="10"/>
  <c r="AB45" i="10"/>
  <c r="AB46" i="10" s="1"/>
  <c r="AA45" i="10"/>
  <c r="Z45" i="10"/>
  <c r="Y45" i="10"/>
  <c r="AB38" i="10" s="1"/>
  <c r="X45" i="10"/>
  <c r="X47" i="10" s="1"/>
  <c r="X50" i="10" s="1"/>
  <c r="W45" i="10"/>
  <c r="V45" i="10"/>
  <c r="U45" i="10"/>
  <c r="T45" i="10"/>
  <c r="T47" i="10" s="1"/>
  <c r="T50" i="10" s="1"/>
  <c r="S45" i="10"/>
  <c r="R45" i="10"/>
  <c r="Q45" i="10"/>
  <c r="P44" i="10"/>
  <c r="O44" i="10"/>
  <c r="N44" i="10"/>
  <c r="M44" i="10"/>
  <c r="AB41" i="10"/>
  <c r="X41" i="10"/>
  <c r="T41" i="10"/>
  <c r="P41" i="10"/>
  <c r="AB40" i="10"/>
  <c r="X40" i="10"/>
  <c r="T40" i="10"/>
  <c r="P40" i="10"/>
  <c r="K40" i="10"/>
  <c r="F40" i="10"/>
  <c r="X38" i="10"/>
  <c r="AB37" i="10"/>
  <c r="AA37" i="10"/>
  <c r="X37" i="10"/>
  <c r="W37" i="10"/>
  <c r="T37" i="10"/>
  <c r="S37" i="10"/>
  <c r="P37" i="10"/>
  <c r="O37" i="10"/>
  <c r="L29" i="10"/>
  <c r="L28" i="10"/>
  <c r="L25" i="10"/>
  <c r="L24" i="10"/>
  <c r="L21" i="10"/>
  <c r="L20" i="10"/>
  <c r="L19" i="10"/>
  <c r="AB17" i="10"/>
  <c r="AA17" i="10"/>
  <c r="Z17" i="10"/>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F16" i="10"/>
  <c r="E16" i="10"/>
  <c r="AB15" i="10"/>
  <c r="AA15" i="10"/>
  <c r="X15" i="10"/>
  <c r="X13" i="10" s="1"/>
  <c r="W15" i="10"/>
  <c r="T15" i="10"/>
  <c r="S15" i="10"/>
  <c r="Q13" i="10" s="1"/>
  <c r="P15" i="10"/>
  <c r="O15" i="10"/>
  <c r="L15" i="10"/>
  <c r="AB13" i="10"/>
  <c r="AA13" i="10"/>
  <c r="Z13" i="10"/>
  <c r="Y13" i="10"/>
  <c r="W13" i="10"/>
  <c r="V13" i="10"/>
  <c r="U13" i="10"/>
  <c r="S13" i="10"/>
  <c r="R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G7" i="10"/>
  <c r="AB6" i="10"/>
  <c r="AA6" i="10"/>
  <c r="X6" i="10"/>
  <c r="W6" i="10"/>
  <c r="T6" i="10"/>
  <c r="S6" i="10"/>
  <c r="P6" i="10"/>
  <c r="O6" i="10"/>
  <c r="L6" i="10"/>
  <c r="K6" i="10"/>
  <c r="J6" i="10"/>
  <c r="G6" i="10"/>
  <c r="F6" i="10"/>
  <c r="E6" i="10"/>
  <c r="AU55" i="18"/>
  <c r="AT55" i="18"/>
  <c r="AS55" i="18"/>
  <c r="AS22" i="4" s="1"/>
  <c r="AC55" i="18"/>
  <c r="AC22" i="4" s="1"/>
  <c r="AB55" i="18"/>
  <c r="AB22" i="4" s="1"/>
  <c r="AA55" i="18"/>
  <c r="Z55" i="18"/>
  <c r="Z22" i="4" s="1"/>
  <c r="Y55" i="18"/>
  <c r="X55" i="18"/>
  <c r="X22" i="4" s="1"/>
  <c r="W55" i="18"/>
  <c r="V55" i="18"/>
  <c r="V22" i="4" s="1"/>
  <c r="U55" i="18"/>
  <c r="T55" i="18"/>
  <c r="T22" i="4" s="1"/>
  <c r="S55" i="18"/>
  <c r="S22" i="4" s="1"/>
  <c r="R55" i="18"/>
  <c r="R22" i="4" s="1"/>
  <c r="Q55" i="18"/>
  <c r="Q22" i="4" s="1"/>
  <c r="P55" i="18"/>
  <c r="P22" i="4" s="1"/>
  <c r="O55" i="18"/>
  <c r="O22" i="4" s="1"/>
  <c r="N55" i="18"/>
  <c r="M55" i="18"/>
  <c r="M22" i="4" s="1"/>
  <c r="L55" i="18"/>
  <c r="K55" i="18"/>
  <c r="J55" i="18"/>
  <c r="J22" i="4" s="1"/>
  <c r="I55" i="18"/>
  <c r="I22" i="4" s="1"/>
  <c r="H55" i="18"/>
  <c r="H22" i="4" s="1"/>
  <c r="G55" i="18"/>
  <c r="G22" i="4" s="1"/>
  <c r="F55" i="18"/>
  <c r="F22" i="4" s="1"/>
  <c r="E55" i="18"/>
  <c r="E22" i="4" s="1"/>
  <c r="D55" i="18"/>
  <c r="D22" i="4" s="1"/>
  <c r="AU54" i="18"/>
  <c r="AU12" i="4" s="1"/>
  <c r="AT54" i="18"/>
  <c r="AT12" i="4" s="1"/>
  <c r="AS54" i="18"/>
  <c r="AC54" i="18"/>
  <c r="AC12" i="4" s="1"/>
  <c r="AB54" i="18"/>
  <c r="AB12" i="4" s="1"/>
  <c r="AA54" i="18"/>
  <c r="AA12" i="4" s="1"/>
  <c r="Z54" i="18"/>
  <c r="Z12" i="4" s="1"/>
  <c r="Y54" i="18"/>
  <c r="X54" i="18"/>
  <c r="W54" i="18"/>
  <c r="V54" i="18"/>
  <c r="U54" i="18"/>
  <c r="T54" i="18"/>
  <c r="S54" i="18"/>
  <c r="R54" i="18"/>
  <c r="Q54" i="18"/>
  <c r="P54" i="18"/>
  <c r="O54" i="18"/>
  <c r="N54" i="18"/>
  <c r="M54" i="18"/>
  <c r="L54" i="18"/>
  <c r="K54" i="18"/>
  <c r="J54" i="18"/>
  <c r="I54" i="18"/>
  <c r="H54" i="18"/>
  <c r="G54" i="18"/>
  <c r="F54" i="18"/>
  <c r="E54" i="18"/>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A22" i="4"/>
  <c r="Y22" i="4"/>
  <c r="W22" i="4"/>
  <c r="U22" i="4"/>
  <c r="N22" i="4"/>
  <c r="L22" i="4"/>
  <c r="K22" i="4"/>
  <c r="AS12" i="4"/>
  <c r="Y12" i="4"/>
  <c r="X12" i="4"/>
  <c r="W12" i="4"/>
  <c r="V12" i="4"/>
  <c r="U12" i="4"/>
  <c r="T12" i="4"/>
  <c r="S12" i="4"/>
  <c r="R12" i="4"/>
  <c r="Q12" i="4"/>
  <c r="P12" i="4"/>
  <c r="O12" i="4"/>
  <c r="N12" i="4"/>
  <c r="M12" i="4"/>
  <c r="L12" i="4"/>
  <c r="K12" i="4"/>
  <c r="J12" i="4"/>
  <c r="I12" i="4"/>
  <c r="H12" i="4"/>
  <c r="G12" i="4"/>
  <c r="F12" i="4"/>
  <c r="E12" i="4"/>
  <c r="AU5" i="4"/>
  <c r="AT5" i="4"/>
  <c r="AS5" i="4"/>
  <c r="AC5" i="4"/>
  <c r="AB5" i="4"/>
  <c r="AA5" i="4"/>
  <c r="Z5" i="4"/>
  <c r="Y5" i="4"/>
  <c r="X5" i="4"/>
  <c r="W5" i="4"/>
  <c r="V5" i="4"/>
  <c r="U5" i="4"/>
  <c r="T5" i="4"/>
  <c r="S5" i="4"/>
  <c r="R5" i="4"/>
  <c r="Q5" i="4"/>
  <c r="P5" i="4"/>
  <c r="O5" i="4"/>
  <c r="N5" i="4"/>
  <c r="M5" i="4"/>
  <c r="L5" i="4"/>
  <c r="K5" i="4"/>
  <c r="J7" i="10" s="1"/>
  <c r="J5" i="4"/>
  <c r="I5" i="4"/>
  <c r="G15" i="10" s="1"/>
  <c r="H5" i="4"/>
  <c r="G5" i="4"/>
  <c r="F5" i="4"/>
  <c r="E5" i="4"/>
  <c r="E15" i="10" s="1"/>
  <c r="D5" i="4"/>
  <c r="AB47" i="10" l="1"/>
  <c r="AB50" i="10" s="1"/>
  <c r="F15" i="10"/>
  <c r="K7" i="10"/>
  <c r="J15" i="10"/>
  <c r="E7" i="10"/>
  <c r="G29" i="10"/>
  <c r="G19" i="10"/>
  <c r="G21" i="10"/>
  <c r="G25" i="10"/>
  <c r="G28" i="10"/>
  <c r="G20" i="10"/>
  <c r="L23" i="10"/>
  <c r="L27" i="10" s="1"/>
  <c r="L31" i="10" s="1"/>
  <c r="L32" i="10" s="1"/>
  <c r="L33" i="10" s="1"/>
  <c r="X46" i="10"/>
  <c r="T46" i="10"/>
  <c r="T13" i="10"/>
  <c r="P38" i="10"/>
  <c r="K15" i="10" l="1"/>
  <c r="J17" i="10"/>
  <c r="H17" i="10"/>
  <c r="H44" i="10" s="1"/>
  <c r="L26" i="10"/>
  <c r="L30" i="10" s="1"/>
  <c r="J12" i="10"/>
  <c r="J37" i="10"/>
  <c r="F17" i="10"/>
  <c r="I12" i="10"/>
  <c r="F7" i="10"/>
  <c r="C12" i="10" s="1"/>
  <c r="C17" i="10"/>
  <c r="C44" i="10" s="1"/>
  <c r="D12" i="10"/>
  <c r="E37" i="10"/>
  <c r="D17" i="10"/>
  <c r="E12" i="10"/>
  <c r="E17" i="10"/>
  <c r="G24" i="10"/>
  <c r="G23" i="10" s="1"/>
  <c r="G27" i="10" s="1"/>
  <c r="J44" i="10" l="1"/>
  <c r="K37" i="10"/>
  <c r="D44" i="10"/>
  <c r="F12" i="10"/>
  <c r="K17" i="10"/>
  <c r="I17" i="10"/>
  <c r="I44" i="10" s="1"/>
  <c r="F37" i="10"/>
  <c r="E44" i="10"/>
  <c r="H12" i="10"/>
  <c r="G31" i="10"/>
  <c r="G32" i="10" s="1"/>
  <c r="G33" i="10" s="1"/>
  <c r="G26" i="10"/>
  <c r="G30" i="10" s="1"/>
  <c r="F44" i="10" l="1"/>
  <c r="F38" i="10"/>
  <c r="F41" i="10" s="1"/>
  <c r="F46" i="10" s="1"/>
  <c r="F47" i="10" s="1"/>
  <c r="F50" i="10" s="1"/>
  <c r="F52" i="10" s="1"/>
  <c r="C11" i="16" s="1"/>
  <c r="F51" i="10"/>
  <c r="K52" i="10"/>
  <c r="D11" i="16" s="1"/>
  <c r="K44" i="10"/>
  <c r="K41" i="10"/>
  <c r="K51" i="10"/>
  <c r="K38" i="10"/>
  <c r="K12" i="10"/>
  <c r="K46" i="10" l="1"/>
  <c r="K47" i="10"/>
  <c r="K50" i="10" s="1"/>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<sst xmlns="http://schemas.openxmlformats.org/spreadsheetml/2006/main" count="567" uniqueCount="505">
  <si>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</si>
  <si>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</si>
  <si>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</si>
  <si>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</si>
  <si>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</si>
  <si>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</si>
  <si>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</si>
  <si>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</si>
  <si>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</si>
  <si>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</si>
  <si>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</si>
  <si>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</si>
  <si>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</si>
  <si>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</si>
  <si>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</si>
  <si>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</si>
  <si>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</si>
  <si>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</si>
  <si>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</si>
  <si>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</si>
  <si>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</si>
  <si>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</si>
  <si>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</si>
  <si>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</si>
  <si>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</si>
  <si>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</si>
  <si>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</si>
  <si>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</si>
  <si>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</si>
  <si>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</si>
  <si>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</si>
  <si>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</si>
  <si>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</si>
  <si>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</si>
  <si>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</si>
  <si>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</si>
  <si>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</si>
  <si>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</si>
  <si>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</si>
  <si>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</si>
  <si>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</si>
  <si>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</si>
  <si>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</si>
  <si>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</si>
  <si>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</si>
  <si>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</si>
  <si>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</si>
  <si>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</si>
  <si>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</si>
  <si>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</si>
  <si>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</si>
  <si>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</si>
  <si>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</si>
  <si>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</si>
  <si>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</si>
  <si>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</si>
  <si>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</si>
  <si>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</si>
  <si>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</si>
  <si>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</si>
  <si>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</si>
  <si>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</si>
  <si>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</si>
  <si>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</si>
  <si>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</si>
  <si>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</si>
  <si>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</si>
  <si>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</si>
  <si>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</si>
  <si>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</si>
  <si>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</si>
  <si>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</si>
  <si>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</si>
  <si>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</si>
  <si>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</si>
  <si>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</si>
  <si>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</si>
  <si>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</si>
  <si>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</si>
  <si>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</si>
  <si>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</si>
  <si>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</si>
  <si>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</si>
  <si>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</si>
  <si>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</si>
  <si>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</si>
  <si>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</si>
  <si>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</si>
  <si>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</si>
  <si>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</si>
  <si>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</si>
  <si>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</si>
  <si>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</si>
  <si>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</si>
  <si>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</si>
  <si>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</si>
  <si>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</si>
  <si>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</si>
  <si>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</si>
  <si>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</si>
  <si>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</si>
  <si>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</si>
  <si>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</si>
  <si>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</si>
  <si>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</si>
  <si>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</si>
  <si>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</si>
  <si>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</si>
  <si>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</si>
  <si>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</si>
  <si>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</si>
  <si>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</si>
  <si>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</si>
  <si>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</si>
  <si>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</si>
  <si>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</si>
  <si>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</si>
  <si>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</si>
  <si>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</si>
  <si>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</si>
  <si>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</si>
  <si>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</si>
  <si>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</si>
  <si>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</si>
  <si>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</si>
  <si>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</si>
  <si>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</si>
  <si>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</si>
  <si>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</si>
  <si>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</si>
  <si>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</si>
  <si>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</si>
  <si>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</si>
  <si>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</si>
  <si>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</si>
  <si>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</si>
  <si>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</si>
  <si>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</si>
  <si>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</si>
  <si>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</si>
  <si>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</si>
  <si>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</si>
  <si>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</si>
  <si>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</si>
  <si>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</si>
  <si>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</si>
  <si>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</si>
  <si>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</si>
  <si>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</si>
  <si>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</si>
  <si>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</si>
  <si>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</si>
  <si>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</si>
  <si>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</si>
  <si>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</si>
  <si>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</si>
  <si>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</si>
  <si>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</si>
  <si>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</si>
  <si>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</si>
  <si>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</si>
  <si>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</si>
  <si>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</si>
  <si>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</si>
  <si>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</si>
  <si>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</si>
  <si>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</si>
  <si>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</si>
  <si>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</si>
  <si>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</si>
  <si>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</si>
  <si>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</si>
  <si>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</si>
  <si>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</si>
  <si>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</si>
  <si>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</si>
  <si>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</si>
  <si>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</si>
  <si>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</si>
  <si>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</si>
  <si>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</si>
  <si>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</si>
  <si>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</si>
  <si>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</si>
  <si>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</si>
  <si>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</si>
  <si>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</si>
  <si>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</si>
  <si>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</si>
  <si>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</si>
  <si>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</si>
  <si>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</si>
  <si>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</si>
  <si>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</si>
  <si>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</si>
  <si>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</si>
  <si>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</si>
  <si>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</si>
  <si>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</si>
  <si>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</si>
  <si>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</si>
  <si>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</si>
  <si>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</si>
  <si>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</si>
  <si>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</si>
  <si>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</si>
  <si>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</si>
  <si>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</si>
  <si>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</si>
  <si>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</si>
  <si>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</si>
  <si>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</si>
  <si>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</si>
  <si>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</si>
  <si>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</si>
  <si>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</si>
  <si>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</si>
  <si>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</si>
  <si>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</si>
  <si>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</si>
  <si>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</si>
  <si>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</si>
  <si>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</si>
  <si>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</si>
  <si>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</si>
  <si>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</si>
  <si>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</si>
  <si>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</si>
  <si>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</si>
  <si>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</si>
  <si>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</si>
  <si>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</si>
  <si>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</si>
  <si>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</si>
  <si>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</si>
  <si>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</si>
  <si>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</si>
  <si>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</si>
  <si>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</si>
  <si>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</si>
  <si>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</si>
  <si>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</si>
  <si>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</si>
  <si>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</si>
  <si>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</si>
  <si>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</si>
  <si>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</si>
  <si>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</si>
  <si>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</si>
  <si>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</si>
  <si>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</si>
  <si>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</si>
  <si>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</si>
  <si>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</si>
  <si>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</si>
  <si>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</si>
  <si>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</si>
  <si>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</si>
  <si>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</si>
  <si>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</si>
  <si>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</si>
  <si>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</si>
  <si>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</si>
  <si>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</si>
  <si>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</si>
  <si>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</si>
  <si>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</si>
  <si>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</si>
  <si>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</si>
  <si>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</si>
  <si>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</si>
  <si>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</si>
  <si>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</si>
  <si>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</si>
  <si>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</si>
  <si>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</si>
  <si>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</si>
  <si>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</si>
  <si>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</si>
  <si>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</si>
  <si>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</si>
  <si>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</si>
  <si>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</si>
  <si>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</si>
  <si>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</si>
  <si>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</si>
  <si>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</si>
  <si>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</si>
  <si>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</si>
  <si>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</si>
  <si>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</si>
  <si>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</si>
  <si>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</si>
  <si>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</si>
  <si>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</si>
  <si>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</si>
  <si>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</si>
  <si>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</si>
  <si>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</si>
  <si>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</si>
  <si>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</si>
  <si>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</si>
  <si>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</si>
  <si>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</si>
  <si>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</si>
  <si>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</si>
  <si>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</si>
  <si>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</si>
  <si>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</si>
  <si>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</si>
  <si>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</si>
  <si>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</si>
  <si>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</si>
  <si>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</si>
  <si>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</si>
  <si>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</si>
  <si>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</si>
  <si>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</si>
  <si>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</si>
  <si>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</si>
  <si>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</si>
  <si>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</si>
  <si>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</si>
  <si>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</si>
  <si>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</si>
  <si>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</si>
  <si>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</si>
  <si>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</si>
  <si>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</si>
  <si>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</si>
  <si>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</si>
  <si>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</si>
  <si>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</si>
  <si>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</si>
  <si>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</si>
  <si>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</si>
  <si>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</si>
  <si>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</si>
  <si>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</si>
  <si>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</si>
  <si>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</si>
  <si>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</si>
  <si>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</si>
  <si>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</si>
  <si>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</si>
  <si>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</si>
  <si>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</si>
  <si>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</si>
  <si>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</si>
  <si>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</si>
  <si>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</si>
  <si>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</si>
  <si>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</si>
  <si>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</si>
  <si>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</si>
  <si>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</si>
  <si>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</si>
  <si>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</si>
  <si>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</si>
  <si>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</si>
  <si>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</si>
  <si>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</si>
  <si>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</si>
  <si>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</si>
  <si>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</si>
  <si>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</si>
  <si>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</si>
  <si>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</si>
  <si>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</si>
  <si>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</si>
  <si>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</si>
  <si>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</si>
  <si>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</si>
  <si>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</si>
  <si>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</si>
  <si>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</si>
  <si>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</si>
  <si>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</si>
  <si>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</si>
  <si>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</si>
  <si>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</si>
  <si>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</si>
  <si>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</si>
  <si>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</si>
  <si>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</si>
  <si>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</si>
  <si>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</si>
  <si>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</si>
  <si>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</si>
  <si>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</si>
  <si>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</si>
  <si>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</si>
  <si>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</si>
  <si>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</si>
  <si>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</si>
  <si>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</si>
  <si>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</si>
  <si>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</si>
  <si>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</si>
  <si>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</si>
  <si>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</si>
  <si>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</si>
  <si>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</si>
  <si>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</si>
  <si>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</si>
  <si>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</si>
  <si>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</si>
  <si>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</si>
  <si>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</si>
  <si>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</si>
  <si>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</si>
  <si>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</si>
  <si>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</si>
  <si>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</si>
  <si>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</si>
  <si>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</si>
  <si>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</si>
  <si>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</si>
  <si>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</si>
  <si>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</si>
  <si>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</si>
  <si>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</si>
  <si>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</si>
  <si>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</si>
  <si>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</si>
  <si>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</si>
  <si>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</si>
  <si>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</si>
  <si>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</si>
  <si>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</si>
  <si>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</si>
  <si>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</si>
  <si>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</si>
  <si>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</si>
  <si>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</si>
  <si>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</si>
  <si>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</si>
  <si>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</si>
  <si>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</si>
  <si>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</si>
  <si>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</si>
  <si>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</si>
  <si>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</si>
  <si>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</si>
  <si>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</si>
  <si>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</si>
  <si>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</si>
  <si>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</si>
  <si>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</si>
  <si>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</si>
  <si>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</si>
  <si>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</si>
  <si>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</si>
  <si>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</si>
  <si>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</si>
  <si>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</si>
  <si>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</si>
  <si>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</si>
  <si>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</si>
  <si>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</si>
  <si>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</si>
  <si>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</si>
  <si>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</si>
  <si>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</si>
  <si>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</si>
  <si>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</si>
  <si>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</si>
  <si>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</si>
  <si>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</si>
  <si>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</si>
  <si>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</si>
  <si>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</si>
  <si>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</si>
  <si>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</si>
  <si>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</si>
  <si>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</si>
  <si>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</si>
  <si>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</si>
  <si>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</si>
  <si>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</si>
  <si>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</si>
  <si>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</si>
  <si>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</si>
  <si>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</si>
  <si>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</si>
  <si>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</si>
  <si>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</si>
  <si>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</si>
  <si>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</si>
  <si>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</si>
  <si>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</si>
  <si>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</si>
  <si>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</si>
  <si>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</si>
  <si>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</si>
  <si>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</si>
  <si>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</si>
  <si>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</si>
  <si>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</si>
  <si>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</si>
  <si>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</si>
  <si>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</si>
  <si>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</si>
  <si>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44580</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</si>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</sst>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134</v>
      </c>
    </row>
    <row r="13" spans="1:6" x14ac:dyDescent="0.2">
      <c r="B13" s="232" t="s">
        <v>50</v>
      </c>
      <c r="C13" s="378" t="s">
        <v>192</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20309846</v>
      </c>
      <c r="E5" s="106">
        <f>SUM('Pt 2 Premium and Claims'!E$5,'Pt 2 Premium and Claims'!E$6,-'Pt 2 Premium and Claims'!E$7,-'Pt 2 Premium and Claims'!E$13,'Pt 2 Premium and Claims'!E$14:'Pt 2 Premium and Claims'!E$17)</f>
        <v>22211636.940000001</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16205676</v>
      </c>
      <c r="J5" s="105">
        <f>SUM('Pt 2 Premium and Claims'!J$5,'Pt 2 Premium and Claims'!J$6,-'Pt 2 Premium and Claims'!J$7,-'Pt 2 Premium and Claims'!J$13,'Pt 2 Premium and Claims'!J$14,'Pt 2 Premium and Claims'!J$16:'Pt 2 Premium and Claims'!J$17)</f>
        <v>29201</v>
      </c>
      <c r="K5" s="106">
        <f>SUM('Pt 2 Premium and Claims'!K$5,'Pt 2 Premium and Claims'!K$6,-'Pt 2 Premium and Claims'!K$7,-'Pt 2 Premium and Claims'!K$13,'Pt 2 Premium and Claims'!K$14,'Pt 2 Premium and Claims'!K$16:'Pt 2 Premium and Claims'!K$17)</f>
        <v>28300.25</v>
      </c>
      <c r="L5" s="106">
        <f>SUM('Pt 2 Premium and Claims'!L$5,'Pt 2 Premium and Claims'!L$6,-'Pt 2 Premium and Claims'!L$7,-'Pt 2 Premium and Claims'!L$13,'Pt 2 Premium and Claims'!L$14,'Pt 2 Premium and Claims'!L$16:'Pt 2 Premium and Claims'!L$17)</f>
        <v>0</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0</v>
      </c>
      <c r="Q5" s="106">
        <f>SUM('Pt 2 Premium and Claims'!Q$5,'Pt 2 Premium and Claims'!Q$6,-'Pt 2 Premium and Claims'!Q$7,-'Pt 2 Premium and Claims'!Q$13,'Pt 2 Premium and Claims'!Q$14)</f>
        <v>0</v>
      </c>
      <c r="R5" s="106">
        <f>SUM('Pt 2 Premium and Claims'!R$5,'Pt 2 Premium and Claims'!R$6,-'Pt 2 Premium and Claims'!R$7,-'Pt 2 Premium and Claims'!R$13,'Pt 2 Premium and Claims'!R$14)</f>
        <v>0</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c r="AO5" s="106"/>
      <c r="AP5" s="106"/>
      <c r="AQ5" s="106"/>
      <c r="AR5" s="106"/>
      <c r="AS5" s="105">
        <f>SUM('Pt 2 Premium and Claims'!AS$5,'Pt 2 Premium and Claims'!AS$6,-'Pt 2 Premium and Claims'!AS$7,-'Pt 2 Premium and Claims'!AS$13,'Pt 2 Premium and Claims'!AS$14)</f>
        <v>345037311</v>
      </c>
      <c r="AT5" s="107">
        <f>SUM('Pt 2 Premium and Claims'!AT$5,'Pt 2 Premium and Claims'!AT$6,-'Pt 2 Premium and Claims'!AT$7,-'Pt 2 Premium and Claims'!AT$13,'Pt 2 Premium and Claims'!AT$14)</f>
        <v>12113228</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-10907</v>
      </c>
      <c r="E7" s="110">
        <v>-10907</v>
      </c>
      <c r="F7" s="110"/>
      <c r="G7" s="110"/>
      <c r="H7" s="110"/>
      <c r="I7" s="109"/>
      <c r="J7" s="109">
        <v>-29</v>
      </c>
      <c r="K7" s="110">
        <v>-29</v>
      </c>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-198278</v>
      </c>
      <c r="E8" s="289"/>
      <c r="F8" s="290"/>
      <c r="G8" s="290"/>
      <c r="H8" s="290"/>
      <c r="I8" s="293"/>
      <c r="J8" s="109">
        <v>-13</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-57236</v>
      </c>
      <c r="AT8" s="113">
        <v>-3078856</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20670900</v>
      </c>
      <c r="E12" s="106">
        <f>'Pt 2 Premium and Claims'!E$54</f>
        <v>20499199.802999996</v>
      </c>
      <c r="F12" s="106">
        <f>'Pt 2 Premium and Claims'!F$54</f>
        <v>0</v>
      </c>
      <c r="G12" s="106">
        <f>'Pt 2 Premium and Claims'!G$54</f>
        <v>0</v>
      </c>
      <c r="H12" s="106">
        <f>'Pt 2 Premium and Claims'!H$54</f>
        <v>0</v>
      </c>
      <c r="I12" s="105">
        <f>'Pt 2 Premium and Claims'!I$54</f>
        <v>16332279</v>
      </c>
      <c r="J12" s="105">
        <f>'Pt 2 Premium and Claims'!J$54</f>
        <v>24953</v>
      </c>
      <c r="K12" s="106">
        <f>'Pt 2 Premium and Claims'!K$54</f>
        <v>35358.510899999994</v>
      </c>
      <c r="L12" s="106">
        <f>'Pt 2 Premium and Claims'!L$54</f>
        <v>0</v>
      </c>
      <c r="M12" s="106">
        <f>'Pt 2 Premium and Claims'!M$54</f>
        <v>0</v>
      </c>
      <c r="N12" s="106">
        <f>'Pt 2 Premium and Claims'!N$54</f>
        <v>0</v>
      </c>
      <c r="O12" s="105">
        <f>'Pt 2 Premium and Claims'!O$54</f>
        <v>0</v>
      </c>
      <c r="P12" s="105">
        <f>'Pt 2 Premium and Claims'!P$54</f>
        <v>0</v>
      </c>
      <c r="Q12" s="106">
        <f>'Pt 2 Premium and Claims'!Q$54</f>
        <v>-28997.25</v>
      </c>
      <c r="R12" s="106">
        <f>'Pt 2 Premium and Claims'!R$54</f>
        <v>0</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265057917</v>
      </c>
      <c r="AT12" s="107">
        <f>'Pt 2 Premium and Claims'!AT$54</f>
        <v>7272088</v>
      </c>
      <c r="AU12" s="107">
        <f>'Pt 2 Premium and Claims'!AU$54</f>
        <v>0</v>
      </c>
      <c r="AV12" s="312"/>
      <c r="AW12" s="317"/>
    </row>
    <row r="13" spans="1:49" ht="25.5" x14ac:dyDescent="0.2">
      <c r="B13" s="155" t="s">
        <v>230</v>
      </c>
      <c r="C13" s="62" t="s">
        <v>37</v>
      </c>
      <c r="D13" s="109">
        <v>1461614</v>
      </c>
      <c r="E13" s="110">
        <v>1636860.5100000002</v>
      </c>
      <c r="F13" s="110"/>
      <c r="G13" s="289"/>
      <c r="H13" s="290"/>
      <c r="I13" s="109">
        <v>1404812</v>
      </c>
      <c r="J13" s="109">
        <v>5539</v>
      </c>
      <c r="K13" s="110">
        <v>5541.39</v>
      </c>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87213214</v>
      </c>
      <c r="AT13" s="113">
        <v>4277</v>
      </c>
      <c r="AU13" s="113"/>
      <c r="AV13" s="311"/>
      <c r="AW13" s="318"/>
    </row>
    <row r="14" spans="1:49" ht="25.5" x14ac:dyDescent="0.2">
      <c r="B14" s="155" t="s">
        <v>231</v>
      </c>
      <c r="C14" s="62" t="s">
        <v>6</v>
      </c>
      <c r="D14" s="109">
        <v>79769</v>
      </c>
      <c r="E14" s="110">
        <v>84643.33</v>
      </c>
      <c r="F14" s="110"/>
      <c r="G14" s="288"/>
      <c r="H14" s="291"/>
      <c r="I14" s="109">
        <v>57408</v>
      </c>
      <c r="J14" s="109">
        <v>1006</v>
      </c>
      <c r="K14" s="110">
        <v>1025.6400000000001</v>
      </c>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26350896</v>
      </c>
      <c r="AT14" s="113">
        <v>491</v>
      </c>
      <c r="AU14" s="113"/>
      <c r="AV14" s="311"/>
      <c r="AW14" s="318"/>
    </row>
    <row r="15" spans="1:49" ht="38.25" x14ac:dyDescent="0.2">
      <c r="B15" s="155" t="s">
        <v>232</v>
      </c>
      <c r="C15" s="62" t="s">
        <v>7</v>
      </c>
      <c r="D15" s="109">
        <v>862</v>
      </c>
      <c r="E15" s="110">
        <v>862</v>
      </c>
      <c r="F15" s="110"/>
      <c r="G15" s="288"/>
      <c r="H15" s="294"/>
      <c r="I15" s="109">
        <v>711</v>
      </c>
      <c r="J15" s="109">
        <v>3</v>
      </c>
      <c r="K15" s="110">
        <v>3</v>
      </c>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11312</v>
      </c>
      <c r="AT15" s="113">
        <v>344</v>
      </c>
      <c r="AU15" s="113"/>
      <c r="AV15" s="311"/>
      <c r="AW15" s="318"/>
    </row>
    <row r="16" spans="1:49" ht="25.5" x14ac:dyDescent="0.2">
      <c r="B16" s="155" t="s">
        <v>233</v>
      </c>
      <c r="C16" s="62" t="s">
        <v>61</v>
      </c>
      <c r="D16" s="109">
        <v>-4117877.0000000005</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-159351</v>
      </c>
      <c r="AT16" s="113">
        <v>-1957559</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-121945</v>
      </c>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8012</v>
      </c>
      <c r="E22" s="115">
        <f>'Pt 2 Premium and Claims'!E$55</f>
        <v>8012</v>
      </c>
      <c r="F22" s="115">
        <f>'Pt 2 Premium and Claims'!F$55</f>
        <v>0</v>
      </c>
      <c r="G22" s="115">
        <f>'Pt 2 Premium and Claims'!G$55</f>
        <v>0</v>
      </c>
      <c r="H22" s="115">
        <f>'Pt 2 Premium and Claims'!H$55</f>
        <v>0</v>
      </c>
      <c r="I22" s="114">
        <f>'Pt 2 Premium and Claims'!I$55</f>
        <v>6701</v>
      </c>
      <c r="J22" s="114">
        <f>'Pt 2 Premium and Claims'!J$55</f>
        <v>0</v>
      </c>
      <c r="K22" s="115">
        <f>'Pt 2 Premium and Claims'!K$55</f>
        <v>0</v>
      </c>
      <c r="L22" s="115">
        <f>'Pt 2 Premium and Claims'!L$55</f>
        <v>0</v>
      </c>
      <c r="M22" s="115">
        <f>'Pt 2 Premium and Claims'!M$55</f>
        <v>0</v>
      </c>
      <c r="N22" s="115">
        <f>'Pt 2 Premium and Claims'!N$55</f>
        <v>0</v>
      </c>
      <c r="O22" s="114">
        <f>'Pt 2 Premium and Claims'!O$55</f>
        <v>0</v>
      </c>
      <c r="P22" s="114">
        <f>'Pt 2 Premium and Claims'!P$55</f>
        <v>0</v>
      </c>
      <c r="Q22" s="115">
        <f>'Pt 2 Premium and Claims'!Q$55</f>
        <v>0</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271718.23069999996</v>
      </c>
      <c r="E25" s="110">
        <v>-148875.60930000001</v>
      </c>
      <c r="F25" s="110"/>
      <c r="G25" s="110"/>
      <c r="H25" s="110"/>
      <c r="I25" s="109">
        <v>-111869</v>
      </c>
      <c r="J25" s="109">
        <v>-373.31968330000001</v>
      </c>
      <c r="K25" s="110">
        <v>-373.31968330000001</v>
      </c>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10999147.890000001</v>
      </c>
      <c r="AT25" s="113">
        <v>521300.8689</v>
      </c>
      <c r="AU25" s="113"/>
      <c r="AV25" s="113"/>
      <c r="AW25" s="318"/>
    </row>
    <row r="26" spans="1:49" s="5" customFormat="1" x14ac:dyDescent="0.2">
      <c r="A26" s="35"/>
      <c r="B26" s="158" t="s">
        <v>243</v>
      </c>
      <c r="C26" s="62"/>
      <c r="D26" s="109"/>
      <c r="E26" s="110">
        <v>12204.830000000002</v>
      </c>
      <c r="F26" s="110"/>
      <c r="G26" s="110"/>
      <c r="H26" s="110"/>
      <c r="I26" s="109">
        <v>7072</v>
      </c>
      <c r="J26" s="109"/>
      <c r="K26" s="110">
        <v>3.7</v>
      </c>
      <c r="L26" s="110"/>
      <c r="M26" s="110"/>
      <c r="N26" s="110"/>
      <c r="O26" s="109"/>
      <c r="P26" s="109"/>
      <c r="Q26" s="110">
        <v>0.31</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250005.12</v>
      </c>
      <c r="E27" s="110">
        <v>250005.12</v>
      </c>
      <c r="F27" s="110"/>
      <c r="G27" s="110"/>
      <c r="H27" s="110"/>
      <c r="I27" s="109">
        <v>188414</v>
      </c>
      <c r="J27" s="109">
        <v>368</v>
      </c>
      <c r="K27" s="110">
        <v>368</v>
      </c>
      <c r="L27" s="110"/>
      <c r="M27" s="110"/>
      <c r="N27" s="110"/>
      <c r="O27" s="109"/>
      <c r="P27" s="109">
        <v>-0.64999999999966462</v>
      </c>
      <c r="Q27" s="110">
        <v>-0.64999999999966462</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4298664.1999999993</v>
      </c>
      <c r="AT27" s="113">
        <v>46863.470000000008</v>
      </c>
      <c r="AU27" s="113"/>
      <c r="AV27" s="314"/>
      <c r="AW27" s="318"/>
    </row>
    <row r="28" spans="1:49" s="5" customFormat="1" x14ac:dyDescent="0.2">
      <c r="A28" s="35"/>
      <c r="B28" s="158" t="s">
        <v>245</v>
      </c>
      <c r="C28" s="62"/>
      <c r="D28" s="109">
        <v>185334.68</v>
      </c>
      <c r="E28" s="110">
        <v>59246.919999999991</v>
      </c>
      <c r="F28" s="110"/>
      <c r="G28" s="110"/>
      <c r="H28" s="110"/>
      <c r="I28" s="109">
        <v>33583</v>
      </c>
      <c r="J28" s="109">
        <v>129.44</v>
      </c>
      <c r="K28" s="110">
        <v>12.43</v>
      </c>
      <c r="L28" s="110"/>
      <c r="M28" s="110"/>
      <c r="N28" s="110"/>
      <c r="O28" s="109"/>
      <c r="P28" s="109">
        <v>0.64999999999999991</v>
      </c>
      <c r="Q28" s="110">
        <v>11.469999999999999</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22461.049999999996</v>
      </c>
      <c r="AT28" s="113">
        <v>1878.14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-4965.3840800000053</v>
      </c>
      <c r="E30" s="110">
        <v>1113.1759199999951</v>
      </c>
      <c r="F30" s="110"/>
      <c r="G30" s="110"/>
      <c r="H30" s="110"/>
      <c r="I30" s="109">
        <v>-1279</v>
      </c>
      <c r="J30" s="109">
        <v>1060.31896441</v>
      </c>
      <c r="K30" s="110">
        <v>1061.58896441</v>
      </c>
      <c r="L30" s="110"/>
      <c r="M30" s="110"/>
      <c r="N30" s="110"/>
      <c r="O30" s="109"/>
      <c r="P30" s="109">
        <v>-1082.5800000000002</v>
      </c>
      <c r="Q30" s="110">
        <v>-1081.4200000000003</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817232.86309999973</v>
      </c>
      <c r="AT30" s="113">
        <v>38420.235540000016</v>
      </c>
      <c r="AU30" s="113"/>
      <c r="AV30" s="113"/>
      <c r="AW30" s="318"/>
    </row>
    <row r="31" spans="1:49" x14ac:dyDescent="0.2">
      <c r="B31" s="158" t="s">
        <v>248</v>
      </c>
      <c r="C31" s="62"/>
      <c r="D31" s="109">
        <v>336183.18</v>
      </c>
      <c r="E31" s="110">
        <v>305218.39</v>
      </c>
      <c r="F31" s="110"/>
      <c r="G31" s="110"/>
      <c r="H31" s="110"/>
      <c r="I31" s="109">
        <v>223201</v>
      </c>
      <c r="J31" s="109">
        <v>472.41</v>
      </c>
      <c r="K31" s="110">
        <v>472.41</v>
      </c>
      <c r="L31" s="110"/>
      <c r="M31" s="110"/>
      <c r="N31" s="110"/>
      <c r="O31" s="109"/>
      <c r="P31" s="109">
        <v>1082.58</v>
      </c>
      <c r="Q31" s="110">
        <v>1082.58</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74428.22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353772.10000000003</v>
      </c>
      <c r="F34" s="110"/>
      <c r="G34" s="110"/>
      <c r="H34" s="110"/>
      <c r="I34" s="109">
        <v>185787</v>
      </c>
      <c r="J34" s="109"/>
      <c r="K34" s="110">
        <v>125.38</v>
      </c>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16597.010000000002</v>
      </c>
      <c r="E35" s="110">
        <v>440549.17</v>
      </c>
      <c r="F35" s="110"/>
      <c r="G35" s="110"/>
      <c r="H35" s="110"/>
      <c r="I35" s="109">
        <v>433547</v>
      </c>
      <c r="J35" s="109">
        <v>6.74</v>
      </c>
      <c r="K35" s="110">
        <v>6.74</v>
      </c>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209587.52000000002</v>
      </c>
      <c r="AT35" s="113">
        <v>7792.48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58963</v>
      </c>
      <c r="E37" s="118">
        <v>58963.3</v>
      </c>
      <c r="F37" s="118"/>
      <c r="G37" s="118"/>
      <c r="H37" s="118"/>
      <c r="I37" s="117">
        <v>36119</v>
      </c>
      <c r="J37" s="117">
        <v>24</v>
      </c>
      <c r="K37" s="118">
        <v>22.83</v>
      </c>
      <c r="L37" s="118"/>
      <c r="M37" s="118"/>
      <c r="N37" s="118"/>
      <c r="O37" s="117"/>
      <c r="P37" s="117"/>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2299033</v>
      </c>
      <c r="AT37" s="119">
        <v>292</v>
      </c>
      <c r="AU37" s="119"/>
      <c r="AV37" s="119"/>
      <c r="AW37" s="317"/>
    </row>
    <row r="38" spans="1:49" x14ac:dyDescent="0.2">
      <c r="B38" s="155" t="s">
        <v>255</v>
      </c>
      <c r="C38" s="62" t="s">
        <v>16</v>
      </c>
      <c r="D38" s="109">
        <v>11841</v>
      </c>
      <c r="E38" s="110">
        <v>11841.18</v>
      </c>
      <c r="F38" s="110"/>
      <c r="G38" s="110"/>
      <c r="H38" s="110"/>
      <c r="I38" s="109">
        <v>6859</v>
      </c>
      <c r="J38" s="109">
        <v>10</v>
      </c>
      <c r="K38" s="110">
        <v>11.97</v>
      </c>
      <c r="L38" s="110"/>
      <c r="M38" s="110"/>
      <c r="N38" s="110"/>
      <c r="O38" s="109"/>
      <c r="P38" s="109"/>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877331</v>
      </c>
      <c r="AT38" s="113">
        <v>7</v>
      </c>
      <c r="AU38" s="113"/>
      <c r="AV38" s="113"/>
      <c r="AW38" s="318"/>
    </row>
    <row r="39" spans="1:49" x14ac:dyDescent="0.2">
      <c r="B39" s="158" t="s">
        <v>256</v>
      </c>
      <c r="C39" s="62" t="s">
        <v>17</v>
      </c>
      <c r="D39" s="109">
        <v>21562</v>
      </c>
      <c r="E39" s="110">
        <v>21561.75</v>
      </c>
      <c r="F39" s="110"/>
      <c r="G39" s="110"/>
      <c r="H39" s="110"/>
      <c r="I39" s="109">
        <v>12266</v>
      </c>
      <c r="J39" s="109">
        <v>1905</v>
      </c>
      <c r="K39" s="110">
        <v>1903.83</v>
      </c>
      <c r="L39" s="110"/>
      <c r="M39" s="110"/>
      <c r="N39" s="110"/>
      <c r="O39" s="109"/>
      <c r="P39" s="109"/>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729243</v>
      </c>
      <c r="AT39" s="113">
        <v>2179</v>
      </c>
      <c r="AU39" s="113"/>
      <c r="AV39" s="113"/>
      <c r="AW39" s="318"/>
    </row>
    <row r="40" spans="1:49" x14ac:dyDescent="0.2">
      <c r="B40" s="158" t="s">
        <v>257</v>
      </c>
      <c r="C40" s="62" t="s">
        <v>38</v>
      </c>
      <c r="D40" s="109">
        <v>5505</v>
      </c>
      <c r="E40" s="110">
        <v>5505.1799999999994</v>
      </c>
      <c r="F40" s="110"/>
      <c r="G40" s="110"/>
      <c r="H40" s="110"/>
      <c r="I40" s="109">
        <v>3124</v>
      </c>
      <c r="J40" s="109">
        <v>45</v>
      </c>
      <c r="K40" s="110">
        <v>45.48</v>
      </c>
      <c r="L40" s="110"/>
      <c r="M40" s="110"/>
      <c r="N40" s="110"/>
      <c r="O40" s="109"/>
      <c r="P40" s="109"/>
      <c r="Q40" s="110">
        <v>1.1102230246251565E-16</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1527462</v>
      </c>
      <c r="AT40" s="113">
        <v>32982</v>
      </c>
      <c r="AU40" s="113"/>
      <c r="AV40" s="113"/>
      <c r="AW40" s="318"/>
    </row>
    <row r="41" spans="1:49" s="5" customFormat="1" ht="25.5" x14ac:dyDescent="0.2">
      <c r="A41" s="35"/>
      <c r="B41" s="158" t="s">
        <v>258</v>
      </c>
      <c r="C41" s="62" t="s">
        <v>129</v>
      </c>
      <c r="D41" s="109">
        <v>21718</v>
      </c>
      <c r="E41" s="110">
        <v>21717.499999999996</v>
      </c>
      <c r="F41" s="110"/>
      <c r="G41" s="110"/>
      <c r="H41" s="110"/>
      <c r="I41" s="109">
        <v>8841</v>
      </c>
      <c r="J41" s="109">
        <v>4</v>
      </c>
      <c r="K41" s="110">
        <v>4.12</v>
      </c>
      <c r="L41" s="110"/>
      <c r="M41" s="110"/>
      <c r="N41" s="110"/>
      <c r="O41" s="109"/>
      <c r="P41" s="109"/>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992758</v>
      </c>
      <c r="AT41" s="113">
        <v>12261</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177724</v>
      </c>
      <c r="E44" s="118">
        <v>177724</v>
      </c>
      <c r="F44" s="118"/>
      <c r="G44" s="118"/>
      <c r="H44" s="118"/>
      <c r="I44" s="117">
        <v>109564</v>
      </c>
      <c r="J44" s="117">
        <v>-216</v>
      </c>
      <c r="K44" s="118">
        <v>-216</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4141886.0000000005</v>
      </c>
      <c r="AT44" s="119">
        <v>29920</v>
      </c>
      <c r="AU44" s="119"/>
      <c r="AV44" s="119"/>
      <c r="AW44" s="317"/>
    </row>
    <row r="45" spans="1:49" x14ac:dyDescent="0.2">
      <c r="B45" s="161" t="s">
        <v>262</v>
      </c>
      <c r="C45" s="62" t="s">
        <v>19</v>
      </c>
      <c r="D45" s="109">
        <v>233119</v>
      </c>
      <c r="E45" s="110">
        <v>233119</v>
      </c>
      <c r="F45" s="110"/>
      <c r="G45" s="110"/>
      <c r="H45" s="110"/>
      <c r="I45" s="109">
        <v>145789</v>
      </c>
      <c r="J45" s="109">
        <v>80</v>
      </c>
      <c r="K45" s="110">
        <v>80</v>
      </c>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4302069</v>
      </c>
      <c r="AT45" s="113">
        <v>92007</v>
      </c>
      <c r="AU45" s="113"/>
      <c r="AV45" s="113"/>
      <c r="AW45" s="318"/>
    </row>
    <row r="46" spans="1:49" x14ac:dyDescent="0.2">
      <c r="B46" s="161" t="s">
        <v>263</v>
      </c>
      <c r="C46" s="62" t="s">
        <v>20</v>
      </c>
      <c r="D46" s="109">
        <v>270275</v>
      </c>
      <c r="E46" s="110">
        <v>270275</v>
      </c>
      <c r="F46" s="110"/>
      <c r="G46" s="110"/>
      <c r="H46" s="110"/>
      <c r="I46" s="109">
        <v>161913</v>
      </c>
      <c r="J46" s="109">
        <v>64</v>
      </c>
      <c r="K46" s="110">
        <v>64</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4498875</v>
      </c>
      <c r="AT46" s="113">
        <v>65736</v>
      </c>
      <c r="AU46" s="113"/>
      <c r="AV46" s="113"/>
      <c r="AW46" s="318"/>
    </row>
    <row r="47" spans="1:49" x14ac:dyDescent="0.2">
      <c r="B47" s="161" t="s">
        <v>264</v>
      </c>
      <c r="C47" s="62" t="s">
        <v>21</v>
      </c>
      <c r="D47" s="109">
        <v>977365</v>
      </c>
      <c r="E47" s="110">
        <v>977365</v>
      </c>
      <c r="F47" s="110"/>
      <c r="G47" s="110"/>
      <c r="H47" s="110"/>
      <c r="I47" s="109">
        <v>667350</v>
      </c>
      <c r="J47" s="109">
        <v>919</v>
      </c>
      <c r="K47" s="110">
        <v>919</v>
      </c>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3486851</v>
      </c>
      <c r="AT47" s="113">
        <v>777484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77170.444079999987</v>
      </c>
      <c r="E49" s="110">
        <v>13633.254079999999</v>
      </c>
      <c r="F49" s="110"/>
      <c r="G49" s="110"/>
      <c r="H49" s="110"/>
      <c r="I49" s="109">
        <v>9514</v>
      </c>
      <c r="J49" s="109">
        <v>52.09103558999999</v>
      </c>
      <c r="K49" s="110">
        <v>38.751035589999994</v>
      </c>
      <c r="L49" s="110"/>
      <c r="M49" s="110"/>
      <c r="N49" s="110"/>
      <c r="O49" s="109"/>
      <c r="P49" s="109">
        <v>0.69999999999999929</v>
      </c>
      <c r="Q49" s="110">
        <v>-11.59</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1380959.2568999999</v>
      </c>
      <c r="AT49" s="113">
        <v>47620.834459999998</v>
      </c>
      <c r="AU49" s="113"/>
      <c r="AV49" s="113"/>
      <c r="AW49" s="318"/>
    </row>
    <row r="50" spans="2:49" ht="25.5" x14ac:dyDescent="0.2">
      <c r="B50" s="155" t="s">
        <v>266</v>
      </c>
      <c r="C50" s="62"/>
      <c r="D50" s="109">
        <v>856.83999999999992</v>
      </c>
      <c r="E50" s="110">
        <v>856.83999999999992</v>
      </c>
      <c r="F50" s="110"/>
      <c r="G50" s="110"/>
      <c r="H50" s="110"/>
      <c r="I50" s="109">
        <v>467</v>
      </c>
      <c r="J50" s="109">
        <v>0.17</v>
      </c>
      <c r="K50" s="110">
        <v>0.17</v>
      </c>
      <c r="L50" s="110"/>
      <c r="M50" s="110"/>
      <c r="N50" s="110"/>
      <c r="O50" s="109"/>
      <c r="P50" s="109">
        <v>0.15</v>
      </c>
      <c r="Q50" s="110">
        <v>0.15</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12662.720000000008</v>
      </c>
      <c r="AT50" s="113">
        <v>381.47000000000014</v>
      </c>
      <c r="AU50" s="113"/>
      <c r="AV50" s="113"/>
      <c r="AW50" s="318"/>
    </row>
    <row r="51" spans="2:49" x14ac:dyDescent="0.2">
      <c r="B51" s="155" t="s">
        <v>267</v>
      </c>
      <c r="C51" s="62"/>
      <c r="D51" s="109">
        <v>1659434</v>
      </c>
      <c r="E51" s="110">
        <v>1659434</v>
      </c>
      <c r="F51" s="110"/>
      <c r="G51" s="110"/>
      <c r="H51" s="110"/>
      <c r="I51" s="109">
        <v>933193</v>
      </c>
      <c r="J51" s="109">
        <v>717</v>
      </c>
      <c r="K51" s="110">
        <v>717</v>
      </c>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20276288</v>
      </c>
      <c r="AT51" s="113">
        <v>882050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4222</v>
      </c>
      <c r="E56" s="122">
        <v>4052</v>
      </c>
      <c r="F56" s="122"/>
      <c r="G56" s="122"/>
      <c r="H56" s="122"/>
      <c r="I56" s="121">
        <v>2829</v>
      </c>
      <c r="J56" s="121"/>
      <c r="K56" s="122">
        <v>1</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65743</v>
      </c>
      <c r="AT56" s="123">
        <v>35272</v>
      </c>
      <c r="AU56" s="123"/>
      <c r="AV56" s="123"/>
      <c r="AW56" s="309"/>
    </row>
    <row r="57" spans="2:49" x14ac:dyDescent="0.2">
      <c r="B57" s="161" t="s">
        <v>273</v>
      </c>
      <c r="C57" s="62" t="s">
        <v>25</v>
      </c>
      <c r="D57" s="124">
        <v>6013</v>
      </c>
      <c r="E57" s="125">
        <v>5669</v>
      </c>
      <c r="F57" s="125"/>
      <c r="G57" s="125"/>
      <c r="H57" s="125"/>
      <c r="I57" s="124">
        <v>3678</v>
      </c>
      <c r="J57" s="124">
        <v>1</v>
      </c>
      <c r="K57" s="125">
        <v>1</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89005</v>
      </c>
      <c r="AT57" s="126">
        <v>60824</v>
      </c>
      <c r="AU57" s="126"/>
      <c r="AV57" s="126"/>
      <c r="AW57" s="310"/>
    </row>
    <row r="58" spans="2:49" x14ac:dyDescent="0.2">
      <c r="B58" s="161" t="s">
        <v>274</v>
      </c>
      <c r="C58" s="62" t="s">
        <v>26</v>
      </c>
      <c r="D58" s="330"/>
      <c r="E58" s="331"/>
      <c r="F58" s="331"/>
      <c r="G58" s="331"/>
      <c r="H58" s="331"/>
      <c r="I58" s="330"/>
      <c r="J58" s="124">
        <v>1</v>
      </c>
      <c r="K58" s="125">
        <v>1</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22</v>
      </c>
      <c r="AT58" s="126">
        <v>179</v>
      </c>
      <c r="AU58" s="126"/>
      <c r="AV58" s="126"/>
      <c r="AW58" s="310"/>
    </row>
    <row r="59" spans="2:49" x14ac:dyDescent="0.2">
      <c r="B59" s="161" t="s">
        <v>275</v>
      </c>
      <c r="C59" s="62" t="s">
        <v>27</v>
      </c>
      <c r="D59" s="124">
        <v>76691</v>
      </c>
      <c r="E59" s="125">
        <v>71319</v>
      </c>
      <c r="F59" s="125"/>
      <c r="G59" s="125"/>
      <c r="H59" s="125"/>
      <c r="I59" s="124">
        <v>41815</v>
      </c>
      <c r="J59" s="124">
        <v>21</v>
      </c>
      <c r="K59" s="125">
        <v>21</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1053621</v>
      </c>
      <c r="AT59" s="126">
        <v>354035</v>
      </c>
      <c r="AU59" s="126"/>
      <c r="AV59" s="126"/>
      <c r="AW59" s="310"/>
    </row>
    <row r="60" spans="2:49" x14ac:dyDescent="0.2">
      <c r="B60" s="161" t="s">
        <v>276</v>
      </c>
      <c r="C60" s="62"/>
      <c r="D60" s="127">
        <f t="shared" ref="D60:AC60" si="0">D$59/12</f>
        <v>6390.916666666667</v>
      </c>
      <c r="E60" s="128">
        <f t="shared" si="0"/>
        <v>5943.25</v>
      </c>
      <c r="F60" s="128">
        <f t="shared" si="0"/>
        <v>0</v>
      </c>
      <c r="G60" s="128">
        <f t="shared" si="0"/>
        <v>0</v>
      </c>
      <c r="H60" s="128">
        <f t="shared" si="0"/>
        <v>0</v>
      </c>
      <c r="I60" s="127">
        <f t="shared" si="0"/>
        <v>3484.5833333333335</v>
      </c>
      <c r="J60" s="127">
        <f t="shared" si="0"/>
        <v>1.75</v>
      </c>
      <c r="K60" s="128">
        <f t="shared" si="0"/>
        <v>1.75</v>
      </c>
      <c r="L60" s="128">
        <f t="shared" si="0"/>
        <v>0</v>
      </c>
      <c r="M60" s="128">
        <f t="shared" si="0"/>
        <v>0</v>
      </c>
      <c r="N60" s="128">
        <f t="shared" si="0"/>
        <v>0</v>
      </c>
      <c r="O60" s="127">
        <f t="shared" si="0"/>
        <v>0</v>
      </c>
      <c r="P60" s="127">
        <f t="shared" si="0"/>
        <v>0</v>
      </c>
      <c r="Q60" s="128">
        <f t="shared" si="0"/>
        <v>0</v>
      </c>
      <c r="R60" s="128">
        <f t="shared" si="0"/>
        <v>0</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AS$59/12</f>
        <v>87801.75</v>
      </c>
      <c r="AT60" s="129">
        <f>AT$59/12</f>
        <v>29502.916666666668</v>
      </c>
      <c r="AU60" s="129">
        <f>AU$59/12</f>
        <v>0</v>
      </c>
      <c r="AV60" s="129">
        <f>AV$59/12</f>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20306552</v>
      </c>
      <c r="E5" s="118">
        <v>18905173.34</v>
      </c>
      <c r="F5" s="118"/>
      <c r="G5" s="130"/>
      <c r="H5" s="130"/>
      <c r="I5" s="117">
        <v>13846330</v>
      </c>
      <c r="J5" s="117">
        <v>29201</v>
      </c>
      <c r="K5" s="118">
        <v>28300.25</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345037311</v>
      </c>
      <c r="AT5" s="119">
        <v>12144307</v>
      </c>
      <c r="AU5" s="119"/>
      <c r="AV5" s="312"/>
      <c r="AW5" s="317"/>
    </row>
    <row r="6" spans="2:49" x14ac:dyDescent="0.2">
      <c r="B6" s="176" t="s">
        <v>279</v>
      </c>
      <c r="C6" s="133" t="s">
        <v>8</v>
      </c>
      <c r="D6" s="109">
        <v>19361</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14226</v>
      </c>
      <c r="AU6" s="113"/>
      <c r="AV6" s="311"/>
      <c r="AW6" s="318"/>
    </row>
    <row r="7" spans="2:49" x14ac:dyDescent="0.2">
      <c r="B7" s="176" t="s">
        <v>280</v>
      </c>
      <c r="C7" s="133" t="s">
        <v>9</v>
      </c>
      <c r="D7" s="109">
        <v>16067</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45305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-6681170</v>
      </c>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-4693343</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3343273.21</v>
      </c>
      <c r="F15" s="110"/>
      <c r="G15" s="110"/>
      <c r="H15" s="110"/>
      <c r="I15" s="109">
        <v>3343273</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-983926.61</v>
      </c>
      <c r="F16" s="110"/>
      <c r="G16" s="110"/>
      <c r="H16" s="110"/>
      <c r="I16" s="109">
        <v>-983927</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947117</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54305</v>
      </c>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-3072567</v>
      </c>
      <c r="AU19" s="113"/>
      <c r="AV19" s="311"/>
      <c r="AW19" s="318"/>
    </row>
    <row r="20" spans="2:49" s="5" customFormat="1" ht="25.5" x14ac:dyDescent="0.2">
      <c r="B20" s="178" t="s">
        <v>485</v>
      </c>
      <c r="C20" s="133"/>
      <c r="D20" s="109"/>
      <c r="E20" s="110">
        <v>8466486.8900000006</v>
      </c>
      <c r="F20" s="110"/>
      <c r="G20" s="110"/>
      <c r="H20" s="110"/>
      <c r="I20" s="109">
        <v>8466487</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17635269</v>
      </c>
      <c r="E23" s="288"/>
      <c r="F23" s="288"/>
      <c r="G23" s="288"/>
      <c r="H23" s="288"/>
      <c r="I23" s="292"/>
      <c r="J23" s="109">
        <v>26545</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265924661.00000003</v>
      </c>
      <c r="AT23" s="113">
        <v>6950967</v>
      </c>
      <c r="AU23" s="113"/>
      <c r="AV23" s="311"/>
      <c r="AW23" s="318"/>
    </row>
    <row r="24" spans="2:49" ht="28.5" customHeight="1" x14ac:dyDescent="0.2">
      <c r="B24" s="178" t="s">
        <v>114</v>
      </c>
      <c r="C24" s="133"/>
      <c r="D24" s="293"/>
      <c r="E24" s="110">
        <v>19961347.028999995</v>
      </c>
      <c r="F24" s="110"/>
      <c r="G24" s="110"/>
      <c r="H24" s="110"/>
      <c r="I24" s="109">
        <v>15842566</v>
      </c>
      <c r="J24" s="293"/>
      <c r="K24" s="110">
        <v>35266.839999999997</v>
      </c>
      <c r="L24" s="110"/>
      <c r="M24" s="110"/>
      <c r="N24" s="110"/>
      <c r="O24" s="109"/>
      <c r="P24" s="293"/>
      <c r="Q24" s="110">
        <v>-28997.25</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3712426</v>
      </c>
      <c r="E26" s="288"/>
      <c r="F26" s="288"/>
      <c r="G26" s="288"/>
      <c r="H26" s="288"/>
      <c r="I26" s="292"/>
      <c r="J26" s="109">
        <v>233</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24397060</v>
      </c>
      <c r="AT26" s="113">
        <v>761665</v>
      </c>
      <c r="AU26" s="113"/>
      <c r="AV26" s="311"/>
      <c r="AW26" s="318"/>
    </row>
    <row r="27" spans="2:49" s="5" customFormat="1" ht="25.5" x14ac:dyDescent="0.2">
      <c r="B27" s="178" t="s">
        <v>85</v>
      </c>
      <c r="C27" s="133"/>
      <c r="D27" s="293"/>
      <c r="E27" s="110">
        <v>623079.10399999993</v>
      </c>
      <c r="F27" s="110"/>
      <c r="G27" s="110"/>
      <c r="H27" s="110"/>
      <c r="I27" s="109">
        <v>547121</v>
      </c>
      <c r="J27" s="293"/>
      <c r="K27" s="110">
        <v>12.3109</v>
      </c>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659603.00000000012</v>
      </c>
      <c r="E28" s="289"/>
      <c r="F28" s="289"/>
      <c r="G28" s="289"/>
      <c r="H28" s="289"/>
      <c r="I28" s="293"/>
      <c r="J28" s="109">
        <v>1560</v>
      </c>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22552087</v>
      </c>
      <c r="AT28" s="113">
        <v>420142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32424.999999999996</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52869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1195023</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1195023</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1195606</v>
      </c>
      <c r="E36" s="110">
        <v>1195606</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727533</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-6681170</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-4693343</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11742</v>
      </c>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23209</v>
      </c>
      <c r="E49" s="110">
        <v>84643.329999999987</v>
      </c>
      <c r="F49" s="110"/>
      <c r="G49" s="110"/>
      <c r="H49" s="110"/>
      <c r="I49" s="109">
        <v>57408</v>
      </c>
      <c r="J49" s="109">
        <v>265</v>
      </c>
      <c r="K49" s="110">
        <v>1025.6400000000001</v>
      </c>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6128566</v>
      </c>
      <c r="AT49" s="113">
        <v>50</v>
      </c>
      <c r="AU49" s="113"/>
      <c r="AV49" s="311"/>
      <c r="AW49" s="318"/>
    </row>
    <row r="50" spans="2:49" x14ac:dyDescent="0.2">
      <c r="B50" s="176" t="s">
        <v>119</v>
      </c>
      <c r="C50" s="133" t="s">
        <v>34</v>
      </c>
      <c r="D50" s="109">
        <v>6600.0000000000009</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4665401</v>
      </c>
      <c r="AT50" s="113">
        <v>92</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v>1105</v>
      </c>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20670900</v>
      </c>
      <c r="E54" s="115">
        <f>E24+E27+E31+E35-E36+E39+E42+E45+E46-E49+E51+E52+E53</f>
        <v>20499199.802999996</v>
      </c>
      <c r="F54" s="115">
        <f>F24+F27+F31+F35-F36+F39+F42+F45+F46-F49+F51+F52+F53</f>
        <v>0</v>
      </c>
      <c r="G54" s="115">
        <f>G24+G27+G31+G35-G36+G39+G42+G45+G46-G49+G51+G52+G53</f>
        <v>0</v>
      </c>
      <c r="H54" s="115">
        <f>H24+H27+H31+H35-H36+H39+H42+H45+H46-H49+H51+H52+H53</f>
        <v>0</v>
      </c>
      <c r="I54" s="114">
        <f>I24+I27+I31+I35-I36+I39+I42+I45+I46-I49+I51+I52+I53</f>
        <v>16332279</v>
      </c>
      <c r="J54" s="114">
        <f>J23+J26-J28+J30-J32+J34-J36+J38+J41-J43+J45+J46-J47-J49+J50+J51+J52+J53</f>
        <v>24953</v>
      </c>
      <c r="K54" s="115">
        <f>K24+K27+K31+K35-K36+K39+K42+K45+K46-K49+K51+K52+K53</f>
        <v>35358.510899999994</v>
      </c>
      <c r="L54" s="115">
        <f>L24+L27+L31+L35-L36+L39+L42+L45+L46-L49+L51+L52+L53</f>
        <v>0</v>
      </c>
      <c r="M54" s="115">
        <f>M24+M27+M31+M35-M36+M39+M42+M45+M46-M49+M51+M52+M53</f>
        <v>0</v>
      </c>
      <c r="N54" s="115">
        <f>N24+N27+N31+N35-N36+N39+N42+N45+N46-N49+N51+N52+N53</f>
        <v>0</v>
      </c>
      <c r="O54" s="114">
        <f>O24+O27+O31+O35-O36+O39+O42+O45+O46-O49+O51+O52+O53</f>
        <v>0</v>
      </c>
      <c r="P54" s="114">
        <f>P23+P26-P28+P30-P32+P34-P36+P38+P41-P43+P45+P46-P47-P49+P50+P51+P52+P53</f>
        <v>0</v>
      </c>
      <c r="Q54" s="115">
        <f>Q24+Q27+Q31+Q35-Q36+Q39+Q42+Q45+Q46-Q49+Q51+Q52+Q53</f>
        <v>-28997.25</v>
      </c>
      <c r="R54" s="115">
        <f>R24+R27+R31+R35-R36+R39+R42+R45+R46-R49+R51+R52+R53</f>
        <v>0</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265057917</v>
      </c>
      <c r="AT54" s="116">
        <f>AT23+AT26-AT28+AT30-AT32+AT34-AT36+AT38+AT41-AT43+AT45+AT46-AT47-AT49+AT50+AT51+AT52+AT53</f>
        <v>7272088</v>
      </c>
      <c r="AU54" s="116">
        <f>AU23+AU26-AU28+AU30-AU32+AU34-AU36+AU38+AU41-AU43+AU45+AU46-AU47-AU49+AU50+AU51+AU52+AU53</f>
        <v>0</v>
      </c>
      <c r="AV54" s="311"/>
      <c r="AW54" s="318"/>
    </row>
    <row r="55" spans="2:49" ht="25.5" x14ac:dyDescent="0.2">
      <c r="B55" s="181" t="s">
        <v>304</v>
      </c>
      <c r="C55" s="137" t="s">
        <v>28</v>
      </c>
      <c r="D55" s="114">
        <f t="shared" ref="D55:AC55" si="0">MIN(MAX(0,D56),MAX(0,D57))</f>
        <v>8012</v>
      </c>
      <c r="E55" s="115">
        <f t="shared" si="0"/>
        <v>8012</v>
      </c>
      <c r="F55" s="115">
        <f t="shared" si="0"/>
        <v>0</v>
      </c>
      <c r="G55" s="115">
        <f t="shared" si="0"/>
        <v>0</v>
      </c>
      <c r="H55" s="115">
        <f t="shared" si="0"/>
        <v>0</v>
      </c>
      <c r="I55" s="114">
        <f t="shared" si="0"/>
        <v>6701</v>
      </c>
      <c r="J55" s="114">
        <f t="shared" si="0"/>
        <v>0</v>
      </c>
      <c r="K55" s="115">
        <f t="shared" si="0"/>
        <v>0</v>
      </c>
      <c r="L55" s="115">
        <f t="shared" si="0"/>
        <v>0</v>
      </c>
      <c r="M55" s="115">
        <f t="shared" si="0"/>
        <v>0</v>
      </c>
      <c r="N55" s="115">
        <f t="shared" si="0"/>
        <v>0</v>
      </c>
      <c r="O55" s="114">
        <f t="shared" si="0"/>
        <v>0</v>
      </c>
      <c r="P55" s="114">
        <f t="shared" si="0"/>
        <v>0</v>
      </c>
      <c r="Q55" s="115">
        <f t="shared" si="0"/>
        <v>0</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c r="AO55" s="115"/>
      <c r="AP55" s="115"/>
      <c r="AQ55" s="115"/>
      <c r="AR55" s="115"/>
      <c r="AS55" s="114">
        <f>MIN(MAX(0,AS56),MAX(0,AS57))</f>
        <v>0</v>
      </c>
      <c r="AT55" s="116">
        <f>MIN(MAX(0,AT56),MAX(0,AT57))</f>
        <v>0</v>
      </c>
      <c r="AU55" s="116">
        <f>MIN(MAX(0,AU56),MAX(0,AU57))</f>
        <v>0</v>
      </c>
      <c r="AV55" s="311"/>
      <c r="AW55" s="318"/>
    </row>
    <row r="56" spans="2:49" ht="11.85" customHeight="1" x14ac:dyDescent="0.2">
      <c r="B56" s="176" t="s">
        <v>120</v>
      </c>
      <c r="C56" s="137" t="s">
        <v>452</v>
      </c>
      <c r="D56" s="109">
        <v>24872</v>
      </c>
      <c r="E56" s="110">
        <v>24872</v>
      </c>
      <c r="F56" s="110"/>
      <c r="G56" s="110"/>
      <c r="H56" s="110"/>
      <c r="I56" s="109">
        <v>14584</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8012</v>
      </c>
      <c r="E57" s="110">
        <v>8012</v>
      </c>
      <c r="F57" s="110"/>
      <c r="G57" s="110"/>
      <c r="H57" s="110"/>
      <c r="I57" s="109">
        <v>6701</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4818531</v>
      </c>
      <c r="AT57" s="113">
        <v>111</v>
      </c>
      <c r="AU57" s="113"/>
      <c r="AV57" s="113"/>
      <c r="AW57" s="318"/>
    </row>
    <row r="58" spans="2:49" s="5" customFormat="1" x14ac:dyDescent="0.2">
      <c r="B58" s="184" t="s">
        <v>484</v>
      </c>
      <c r="C58" s="185"/>
      <c r="D58" s="186"/>
      <c r="E58" s="187">
        <v>1749025.12</v>
      </c>
      <c r="F58" s="187"/>
      <c r="G58" s="187"/>
      <c r="H58" s="187"/>
      <c r="I58" s="186">
        <v>1749025</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O31" activePane="bottomRight" state="frozen"/>
      <selection activeCell="B1" sqref="B1"/>
      <selection pane="topRight" activeCell="B1" sqref="B1"/>
      <selection pane="bottomLeft" activeCell="B1" sqref="B1"/>
      <selection pane="bottomRight" activeCell="P49" sqref="P4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5760503.1700000009</v>
      </c>
      <c r="D5" s="118">
        <v>3826447.5500999992</v>
      </c>
      <c r="E5" s="346"/>
      <c r="F5" s="346"/>
      <c r="G5" s="312"/>
      <c r="H5" s="117">
        <v>14037.290000000005</v>
      </c>
      <c r="I5" s="118">
        <v>20606.481800000001</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5723224.5500000007</v>
      </c>
      <c r="D6" s="110">
        <v>3774877.5355999987</v>
      </c>
      <c r="E6" s="115">
        <f>SUM('Pt 1 Summary of Data'!E$12,'Pt 1 Summary of Data'!E$22)+SUM('Pt 1 Summary of Data'!G$12,'Pt 1 Summary of Data'!G$22)-SUM('Pt 1 Summary of Data'!H$12,'Pt 1 Summary of Data'!H$22)</f>
        <v>20507211.802999996</v>
      </c>
      <c r="F6" s="115">
        <f t="shared" ref="F6:F11" si="0">SUM(C6:E6)</f>
        <v>30005313.888599996</v>
      </c>
      <c r="G6" s="116">
        <f>SUM('Pt 1 Summary of Data'!I$12,'Pt 1 Summary of Data'!I$22)</f>
        <v>16338980</v>
      </c>
      <c r="H6" s="109">
        <v>-8210.0100000000075</v>
      </c>
      <c r="I6" s="110">
        <v>20129.337</v>
      </c>
      <c r="J6" s="115">
        <f>SUM('Pt 1 Summary of Data'!K$12,'Pt 1 Summary of Data'!K$22)+SUM('Pt 1 Summary of Data'!M$12,'Pt 1 Summary of Data'!M$22)-SUM('Pt 1 Summary of Data'!N$12,'Pt 1 Summary of Data'!N$22)</f>
        <v>35358.510899999994</v>
      </c>
      <c r="K6" s="115">
        <f>SUM(H6:J6)</f>
        <v>47277.837899999984</v>
      </c>
      <c r="L6" s="116">
        <f>SUM('Pt 1 Summary of Data'!O$12,'Pt 1 Summary of Data'!O$22)</f>
        <v>0</v>
      </c>
      <c r="M6" s="109"/>
      <c r="N6" s="110"/>
      <c r="O6" s="115">
        <f>SUM('Pt 1 Summary of Data'!Q$12,'Pt 1 Summary of Data'!Q$22)+SUM('Pt 1 Summary of Data'!S$12,'Pt 1 Summary of Data'!S$22)-SUM('Pt 1 Summary of Data'!T$12,'Pt 1 Summary of Data'!T$22)</f>
        <v>-28997.25</v>
      </c>
      <c r="P6" s="115">
        <f>SUM(M6:O6)</f>
        <v>-28997.25</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c r="AN6" s="253"/>
    </row>
    <row r="7" spans="1:40" x14ac:dyDescent="0.2">
      <c r="B7" s="191" t="s">
        <v>312</v>
      </c>
      <c r="C7" s="109">
        <v>73445.289999999994</v>
      </c>
      <c r="D7" s="110">
        <v>71853.25999999998</v>
      </c>
      <c r="E7" s="115">
        <f>SUM('Pt 1 Summary of Data'!E$37:E$41)+SUM('Pt 1 Summary of Data'!G$37:G$41)-SUM('Pt 1 Summary of Data'!H$37:H$41)+MAX(0,MIN('Pt 1 Summary of Data'!E$42+'Pt 1 Summary of Data'!G$42-'Pt 1 Summary of Data'!H$42,0.3%*('Pt 1 Summary of Data'!E$5+'Pt 1 Summary of Data'!G$5-'Pt 1 Summary of Data'!H$5-SUM(E$9:E$11))))</f>
        <v>119588.91</v>
      </c>
      <c r="F7" s="115">
        <f t="shared" si="0"/>
        <v>264887.45999999996</v>
      </c>
      <c r="G7" s="116">
        <f>SUM('Pt 1 Summary of Data'!I$37:I$41)+MAX(0,MIN('Pt 1 Summary of Data'!I$42,0.3%*('Pt 1 Summary of Data'!I$5-SUM(G$9:G$10))))</f>
        <v>67209</v>
      </c>
      <c r="H7" s="109">
        <v>221.01000000000002</v>
      </c>
      <c r="I7" s="110">
        <v>91.06</v>
      </c>
      <c r="J7" s="115">
        <f>SUM('Pt 1 Summary of Data'!K$37:K$41)+SUM('Pt 1 Summary of Data'!M$37:M$41)-SUM('Pt 1 Summary of Data'!N$37:N$41)+MAX(0,MIN('Pt 1 Summary of Data'!K$42+'Pt 1 Summary of Data'!M$42-'Pt 1 Summary of Data'!N$42,0.3%*('Pt 1 Summary of Data'!K$5+'Pt 1 Summary of Data'!M$5-'Pt 1 Summary of Data'!N$5-SUM(J$10:J$11))))</f>
        <v>1988.2299999999998</v>
      </c>
      <c r="K7" s="115">
        <f>SUM(H7:J7)</f>
        <v>2300.2999999999997</v>
      </c>
      <c r="L7" s="116">
        <f>SUM('Pt 1 Summary of Data'!O$37:O$41)+MAX(0,MIN('Pt 1 Summary of Data'!O$42,0.3%*('Pt 1 Summary of Data'!O$5-L$10)))</f>
        <v>0</v>
      </c>
      <c r="M7" s="109"/>
      <c r="N7" s="110"/>
      <c r="O7" s="115">
        <f>SUM('Pt 1 Summary of Data'!Q$37:Q$41)+SUM('Pt 1 Summary of Data'!S$37:S$41)-SUM('Pt 1 Summary of Data'!T$37:T$41)+MAX(0,MIN('Pt 1 Summary of Data'!Q$42+'Pt 1 Summary of Data'!S$42-'Pt 1 Summary of Data'!T$42,0.3%*('Pt 1 Summary of Data'!Q$5+'Pt 1 Summary of Data'!S$5-'Pt 1 Summary of Data'!T$5)))</f>
        <v>1.1102230246251565E-16</v>
      </c>
      <c r="P7" s="115">
        <f>SUM(M7:O7)</f>
        <v>1.1102230246251565E-16</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v>1749025.12</v>
      </c>
      <c r="F8" s="269">
        <f t="shared" si="0"/>
        <v>1749025.12</v>
      </c>
      <c r="G8" s="270">
        <v>1749025</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3343273.21</v>
      </c>
      <c r="F9" s="115">
        <f t="shared" si="0"/>
        <v>3343273.21</v>
      </c>
      <c r="G9" s="116">
        <f>'Pt 2 Premium and Claims'!I$15</f>
        <v>3343273</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-983926.61</v>
      </c>
      <c r="F10" s="115">
        <f t="shared" si="0"/>
        <v>-983926.61</v>
      </c>
      <c r="G10" s="116">
        <f>'Pt 2 Premium and Claims'!I$16</f>
        <v>-983927</v>
      </c>
      <c r="H10" s="292"/>
      <c r="I10" s="288"/>
      <c r="J10" s="115">
        <f>'Pt 2 Premium and Claims'!K$16+'Pt 2 Premium and Claims'!M$16-'Pt 2 Premium and Claims'!N$16</f>
        <v>0</v>
      </c>
      <c r="K10" s="115">
        <f>SUM(H10:J10)</f>
        <v>0</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947117</v>
      </c>
      <c r="F11" s="115">
        <f t="shared" si="0"/>
        <v>947117</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5796669.8400000008</v>
      </c>
      <c r="D12" s="115">
        <f>SUM(D$6:D$7)+IF(AND(OR('Company Information'!$C$12="District of Columbia",'Company Information'!$C$12="Massachusetts",'Company Information'!$C$12="Vermont"),SUM($C$6:$F$11,$C$15:$F$16,$C$37:$D$37)&lt;&gt;0),SUM(I$6:I$7),0)</f>
        <v>3846730.7955999984</v>
      </c>
      <c r="E12" s="115">
        <f>SUM(E$6:E$7)-SUM(E$8:E$11)+IF(AND(OR('Company Information'!$C$12="District of Columbia",'Company Information'!$C$12="Massachusetts",'Company Information'!$C$12="Vermont"),SUM($C$6:$F$11,$C$15:$F$16,$C$37:$D$37)&lt;&gt;0),SUM(J$6:J$7)-SUM(J$10:J$11),0)</f>
        <v>15571311.992999995</v>
      </c>
      <c r="F12" s="115">
        <f>IFERROR(SUM(C$12:E$12)+C$17*MAX(0,E$49-C$49)+D$17*MAX(0,E$49-D$49),0)</f>
        <v>25214712.628599994</v>
      </c>
      <c r="G12" s="311"/>
      <c r="H12" s="114">
        <f>SUM(H$6:H$7)+IF(AND(OR('Company Information'!$C$12="District of Columbia",'Company Information'!$C$12="Massachusetts",'Company Information'!$C$12="Vermont"),SUM($H$6:$K$11,$H$15:$K$16,$H$37:$I$37)&lt;&gt;0),SUM(C$6:C$7),0)</f>
        <v>-7989.0000000000073</v>
      </c>
      <c r="I12" s="115">
        <f>SUM(I$6:I$7)+IF(AND(OR('Company Information'!$C$12="District of Columbia",'Company Information'!$C$12="Massachusetts",'Company Information'!$C$12="Vermont"),SUM($H$6:$K$11,$H$15:$K$16,$H$37:$I$37)&lt;&gt;0),SUM(D$6:D$7),0)</f>
        <v>20220.397000000001</v>
      </c>
      <c r="J12" s="115">
        <f>SUM(J$6:J$7)-SUM(J$10:J$11)+IF(AND(OR('Company Information'!$C$12="District of Columbia",'Company Information'!$C$12="Massachusetts",'Company Information'!$C$12="Vermont"),SUM($H$6:$K$11,$H$15:$K$16,$H$37:$I$37)&lt;&gt;0),SUM(E$6:E$7)-SUM(E$8:E$11),0)</f>
        <v>37346.740899999997</v>
      </c>
      <c r="K12" s="115">
        <f>IFERROR(SUM(H$12:J$12)+H$17*MAX(0,J$49-H$49)+I$17*MAX(0,J$49-I$49),0)</f>
        <v>49578.137899999987</v>
      </c>
      <c r="L12" s="311"/>
      <c r="M12" s="114">
        <f>SUM(M$6:M$7)</f>
        <v>0</v>
      </c>
      <c r="N12" s="115">
        <f>SUM(N$6:N$7)</f>
        <v>0</v>
      </c>
      <c r="O12" s="115">
        <f>SUM(O$6:O$7)</f>
        <v>-28997.25</v>
      </c>
      <c r="P12" s="115">
        <f>SUM(M$12:O$12)+M$17*MAX(0,O$49-M$49)+N$17*MAX(0,O$49-N$49)</f>
        <v>-28997.25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5609696.5199999996</v>
      </c>
      <c r="D15" s="118">
        <v>5863694.988524206</v>
      </c>
      <c r="E15" s="106">
        <f>SUM('Pt 1 Summary of Data'!E$5:E$7)+SUM('Pt 1 Summary of Data'!G$5:G$7)-SUM('Pt 1 Summary of Data'!H$5:H$7)-SUM(E$9:E$11)+D$55</f>
        <v>18933507.601475794</v>
      </c>
      <c r="F15" s="106">
        <f>SUM(C15:E15)</f>
        <v>30406899.109999999</v>
      </c>
      <c r="G15" s="107">
        <f>SUM('Pt 1 Summary of Data'!I$5:I$7)-SUM(G$9:G$10)</f>
        <v>13846330</v>
      </c>
      <c r="H15" s="117">
        <v>24341.08</v>
      </c>
      <c r="I15" s="118">
        <v>27014.789999999997</v>
      </c>
      <c r="J15" s="106">
        <f>SUM('Pt 1 Summary of Data'!K$5:K$7)+SUM('Pt 1 Summary of Data'!M$5:M$7)-SUM('Pt 1 Summary of Data'!N$5:N$7)-SUM(J$10:J$11)+I$55</f>
        <v>28271.25</v>
      </c>
      <c r="K15" s="106">
        <f>SUM(H15:J15)</f>
        <v>79627.12</v>
      </c>
      <c r="L15" s="107">
        <f>SUM('Pt 1 Summary of Data'!O$5:O$7)-L$10</f>
        <v>0</v>
      </c>
      <c r="M15" s="117"/>
      <c r="N15" s="118"/>
      <c r="O15" s="106">
        <f>SUM('Pt 1 Summary of Data'!Q$5:Q$7)+SUM('Pt 1 Summary of Data'!S$5:S$7)-SUM('Pt 1 Summary of Data'!T$5:T$7)+N$55</f>
        <v>0</v>
      </c>
      <c r="P15" s="106">
        <f>SUM(M15:O15)</f>
        <v>0</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
      <c r="B16" s="191" t="s">
        <v>313</v>
      </c>
      <c r="C16" s="109">
        <v>-572661</v>
      </c>
      <c r="D16" s="110">
        <v>272731.11866486591</v>
      </c>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1275057.9779551341</v>
      </c>
      <c r="F16" s="115">
        <f>SUM(C16:E16)</f>
        <v>975128.09661999997</v>
      </c>
      <c r="G16" s="116">
        <f>SUM('Pt 1 Summary of Data'!I$25:I$28,'Pt 1 Summary of Data'!I$30,'Pt 1 Summary of Data'!I$34:I$35)+IF('Company Information'!$C$15="No",IF(MAX('Pt 1 Summary of Data'!I$31:I$32)=0,MIN('Pt 1 Summary of Data'!I$31:I$32),MAX('Pt 1 Summary of Data'!I$31:I$32)),SUM('Pt 1 Summary of Data'!I$31:I$32))</f>
        <v>958456</v>
      </c>
      <c r="H16" s="109">
        <v>17112</v>
      </c>
      <c r="I16" s="110">
        <v>5354</v>
      </c>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1676.9292811099999</v>
      </c>
      <c r="K16" s="115">
        <f>SUM(H16:J16)</f>
        <v>24142.929281109999</v>
      </c>
      <c r="L16" s="116">
        <f>SUM('Pt 1 Summary of Data'!O$25:O$28,'Pt 1 Summary of Data'!O$30,'Pt 1 Summary of Data'!O$34:O$35)+IF('Company Information'!$C$15="No",IF(MAX('Pt 1 Summary of Data'!O$31:O$32)=0,MIN('Pt 1 Summary of Data'!O$31:O$32),MAX('Pt 1 Summary of Data'!O$31:O$32)),SUM('Pt 1 Summary of Data'!O$31:O$32))</f>
        <v>0</v>
      </c>
      <c r="M16" s="109"/>
      <c r="N16" s="110"/>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12.289999999999964</v>
      </c>
      <c r="P16" s="115">
        <f>SUM(M16:O16)</f>
        <v>12.289999999999964</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c r="AN16" s="253"/>
    </row>
    <row r="17" spans="1:40" s="76" customFormat="1" x14ac:dyDescent="0.2">
      <c r="A17" s="143"/>
      <c r="B17" s="192" t="s">
        <v>320</v>
      </c>
      <c r="C17" s="114">
        <f>C$15-C$16+IF(AND(OR('Company Information'!$C$12="District of Columbia",'Company Information'!$C$12="Massachusetts",'Company Information'!$C$12="Vermont"),SUM($C$6:$F$11,$C$15:$F$16,$C$37:$D$37)&lt;&gt;0),H$15-H$16,0)</f>
        <v>6182357.5199999996</v>
      </c>
      <c r="D17" s="115">
        <f>D$15-D$16+IF(AND(OR('Company Information'!$C$12="District of Columbia",'Company Information'!$C$12="Massachusetts",'Company Information'!$C$12="Vermont"),SUM($C$6:$F$11,$C$15:$F$16,$C$37:$D$37)&lt;&gt;0),I$15-I$16,0)</f>
        <v>5590963.8698593397</v>
      </c>
      <c r="E17" s="115">
        <f>E$15-E$16+IF(AND(OR('Company Information'!$C$12="District of Columbia",'Company Information'!$C$12="Massachusetts",'Company Information'!$C$12="Vermont"),SUM($C$6:$F$11,$C$15:$F$16,$C$37:$D$37)&lt;&gt;0),J$15-J$16,0)</f>
        <v>17658449.623520661</v>
      </c>
      <c r="F17" s="115">
        <f>F$15-F$16+IF(AND(OR('Company Information'!$C$12="District of Columbia",'Company Information'!$C$12="Massachusetts",'Company Information'!$C$12="Vermont"),SUM($C$6:$F$11,$C$15:$F$16,$C$37:$D$37)&lt;&gt;0),K$15-K$16,0)</f>
        <v>29431771.013379999</v>
      </c>
      <c r="G17" s="314"/>
      <c r="H17" s="114">
        <f>H$15-H$16+IF(AND(OR('Company Information'!$C$12="District of Columbia",'Company Information'!$C$12="Massachusetts",'Company Information'!$C$12="Vermont"),SUM($H$6:$K$11,$H$15:$K$16,$H$37:$I$37)&lt;&gt;0),C$15-C$16,0)</f>
        <v>7229.0800000000017</v>
      </c>
      <c r="I17" s="115">
        <f>I$15-I$16+IF(AND(OR('Company Information'!$C$12="District of Columbia",'Company Information'!$C$12="Massachusetts",'Company Information'!$C$12="Vermont"),SUM($H$6:$K$11,$H$15:$K$16,$H$37:$I$37)&lt;&gt;0),D$15-D$16,0)</f>
        <v>21660.789999999997</v>
      </c>
      <c r="J17" s="115">
        <f>J$15-J$16+IF(AND(OR('Company Information'!$C$12="District of Columbia",'Company Information'!$C$12="Massachusetts",'Company Information'!$C$12="Vermont"),SUM($H$6:$K$11,$H$15:$K$16,$H$37:$I$37)&lt;&gt;0),E$15-E$16,0)</f>
        <v>26594.320718890001</v>
      </c>
      <c r="K17" s="115">
        <f>K$15-K$16+IF(AND(OR('Company Information'!$C$12="District of Columbia",'Company Information'!$C$12="Massachusetts",'Company Information'!$C$12="Vermont"),SUM($H$6:$K$11,$H$15:$K$16,$H$37:$I$37)&lt;&gt;0),F$15-F$16,0)</f>
        <v>55484.190718889993</v>
      </c>
      <c r="L17" s="314"/>
      <c r="M17" s="114">
        <f>M$15-M$16</f>
        <v>0</v>
      </c>
      <c r="N17" s="115">
        <f>N$15-N$16</f>
        <v>0</v>
      </c>
      <c r="O17" s="115">
        <f>O$15-O$16</f>
        <v>-12.289999999999964</v>
      </c>
      <c r="P17" s="115">
        <f>P$15-P$16</f>
        <v>-12.289999999999964</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12297818</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2027790</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0.95421618802294317</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386636.22</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-1437734</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386636.22</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3372882.2199999997</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3372882.2199999997</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3536030.8000000003</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3536030.8000000003</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10473447.780000001</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3372882.2199999997</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10473447.780000001</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1.174190033532587</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1051032</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947117</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3080</v>
      </c>
      <c r="D37" s="122">
        <v>3037</v>
      </c>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5943.25</v>
      </c>
      <c r="F37" s="256">
        <f>SUM(C$37:E$37)+IF(AND(OR('Company Information'!$C$12="District of Columbia",'Company Information'!$C$12="Massachusetts",'Company Information'!$C$12="Vermont"),SUM($C$6:$F$11,$C$15:$F$16,$C$37:$D$37)&lt;&gt;0,SUM(C$37:D$37)&lt;&gt;SUM(H$37:I$37)),SUM(H$37:I$37),0)</f>
        <v>12060.25</v>
      </c>
      <c r="G37" s="312"/>
      <c r="H37" s="121">
        <v>3.1666666666666665</v>
      </c>
      <c r="I37" s="122">
        <v>2</v>
      </c>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1.75</v>
      </c>
      <c r="K37" s="256">
        <f>SUM(H$37:J$37)+IF(AND(OR('Company Information'!$C$12="District of Columbia",'Company Information'!$C$12="Massachusetts",'Company Information'!$C$12="Vermont"),SUM($H$6:$K$11,$H$15:$K$16,$H$37:$I$37)&lt;&gt;0,SUM(H$37:I$37)&lt;&gt;SUM(C$37:D$37)),SUM(C$37:D$37),0)</f>
        <v>6.9166666666666661</v>
      </c>
      <c r="L37" s="312"/>
      <c r="M37" s="121"/>
      <c r="N37" s="122"/>
      <c r="O37" s="256">
        <f>('Pt 1 Summary of Data'!Q$59+'Pt 1 Summary of Data'!S$59-'Pt 1 Summary of Data'!T$59)/12</f>
        <v>0</v>
      </c>
      <c r="P37" s="256">
        <f>SUM(M$37:O$37)</f>
        <v>0</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2.4626499999999999E-2</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v>4372.3353051637177</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1.3422463210515858</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 ca="1">IF(OR(F$37&lt;1000,F$37&gt;=75000),0,F$38*F$40)</f>
        <v>3.3054829025376875E-2</v>
      </c>
      <c r="G41" s="311"/>
      <c r="H41" s="292"/>
      <c r="I41" s="288"/>
      <c r="J41" s="288"/>
      <c r="K41" s="260">
        <f>IF(OR(K$37&lt;1000,K$37&gt;=75000),0,K$38*K$40)</f>
        <v>0</v>
      </c>
      <c r="L41" s="311"/>
      <c r="M41" s="292"/>
      <c r="N41" s="288"/>
      <c r="O41" s="288"/>
      <c r="P41" s="260">
        <f>IF(OR(P$37&lt;1000,P$37&gt;=75000),0,P$38*P$40)</f>
        <v>0</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f>IF(OR(C$37&lt;1000,C$17&lt;=0),"",C$12/C$17)</f>
        <v>0.93761478873515569</v>
      </c>
      <c r="D44" s="260">
        <f>IF(OR(D$37&lt;1000,D$17&lt;=0),"",D$12/D$17)</f>
        <v>0.68802640924538405</v>
      </c>
      <c r="E44" s="260">
        <f>IF(OR(E$37&lt;1000,E$17&lt;=0),"",E$12/E$17)</f>
        <v>0.88180515985159624</v>
      </c>
      <c r="F44" s="260">
        <f>IF(OR(F$37&lt;1000,F$17&lt;=0),"",F$12/F$17)</f>
        <v>0.85671747776024476</v>
      </c>
      <c r="G44" s="311"/>
      <c r="H44" s="262" t="str">
        <f>IF(OR(H$37&lt;1000,H$17&lt;=0),"",H$12/H$17)</f>
        <v/>
      </c>
      <c r="I44" s="260" t="str">
        <f>IF(OR(I$37&lt;1000,I$17&lt;=0),"",I$12/I$17)</f>
        <v/>
      </c>
      <c r="J44" s="260" t="str">
        <f>IF(OR(J$37&lt;1000,J$17&lt;=0),"",J$12/J$17)</f>
        <v/>
      </c>
      <c r="K44" s="260" t="str">
        <f>IF(OR(K$37&lt;1000,K$17&lt;=0),"",K$12/K$17)</f>
        <v/>
      </c>
      <c r="L44" s="311"/>
      <c r="M44" s="262" t="str">
        <f>IF(OR(M$37&lt;1000,M$17&lt;=0),"",M$12/M$17)</f>
        <v/>
      </c>
      <c r="N44" s="260" t="str">
        <f>IF(OR(N$37&lt;1000,N$17&lt;=0),"",N$12/N$17)</f>
        <v/>
      </c>
      <c r="O44" s="260" t="str">
        <f>IF(OR(O$37&lt;1000,O$17&lt;=0),"",O$12/O$17)</f>
        <v/>
      </c>
      <c r="P44" s="260" t="str">
        <f>IF(OR(P$37&lt;1000,P$17&lt;=0),"",P$12/P$17)</f>
        <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c r="AM45" s="260"/>
      <c r="AN45" s="261"/>
    </row>
    <row r="46" spans="1:40" x14ac:dyDescent="0.2">
      <c r="B46" s="197" t="s">
        <v>330</v>
      </c>
      <c r="C46" s="292"/>
      <c r="D46" s="288"/>
      <c r="E46" s="288"/>
      <c r="F46" s="260">
        <f ca="1">IF(F$44="","",F$41)</f>
        <v>3.3054829025376875E-2</v>
      </c>
      <c r="G46" s="311"/>
      <c r="H46" s="292"/>
      <c r="I46" s="288"/>
      <c r="J46" s="288"/>
      <c r="K46" s="260" t="str">
        <f>IF(K$44="","",K$41)</f>
        <v/>
      </c>
      <c r="L46" s="311"/>
      <c r="M46" s="292"/>
      <c r="N46" s="288"/>
      <c r="O46" s="288"/>
      <c r="P46" s="260" t="str">
        <f>IF(P$44="","",P$41)</f>
        <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f ca="1">IF(F$44="","",ROUND(F$44+MAX(0,F$46),3))</f>
        <v>0.89</v>
      </c>
      <c r="G47" s="311"/>
      <c r="H47" s="292"/>
      <c r="I47" s="288"/>
      <c r="J47" s="288"/>
      <c r="K47" s="260" t="str">
        <f>IF(K$44="","",ROUND(K$44+MAX(0,K$46),3))</f>
        <v/>
      </c>
      <c r="L47" s="311"/>
      <c r="M47" s="292"/>
      <c r="N47" s="288"/>
      <c r="O47" s="288"/>
      <c r="P47" s="260" t="str">
        <f>IF(P$44="","",ROUND(P$44+MAX(0,P$46),3))</f>
        <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 ca="1">F$47</f>
        <v>0.89</v>
      </c>
      <c r="G50" s="311"/>
      <c r="H50" s="293"/>
      <c r="I50" s="289"/>
      <c r="J50" s="289"/>
      <c r="K50" s="260" t="str">
        <f>K$47</f>
        <v/>
      </c>
      <c r="L50" s="311"/>
      <c r="M50" s="293"/>
      <c r="N50" s="289"/>
      <c r="O50" s="289"/>
      <c r="P50" s="260" t="str">
        <f>P$47</f>
        <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row>
    <row r="51" spans="1:40" x14ac:dyDescent="0.2">
      <c r="B51" s="195" t="s">
        <v>334</v>
      </c>
      <c r="C51" s="292"/>
      <c r="D51" s="288"/>
      <c r="E51" s="288"/>
      <c r="F51" s="115">
        <f>IF(F$37&lt;1000,"",MAX(0,E$15-E$16))</f>
        <v>17658449.623520661</v>
      </c>
      <c r="G51" s="311"/>
      <c r="H51" s="292"/>
      <c r="I51" s="288"/>
      <c r="J51" s="288"/>
      <c r="K51" s="115" t="str">
        <f>IF(K$37&lt;1000,"",MAX(0,J$15-J$16))</f>
        <v/>
      </c>
      <c r="L51" s="311"/>
      <c r="M51" s="292"/>
      <c r="N51" s="288"/>
      <c r="O51" s="288"/>
      <c r="P51" s="115" t="str">
        <f>IF(P$37&lt;1000,"",MAX(0,O$15-O$16))</f>
        <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 ca="1">IF(OR(F$37&lt;1000,F$17&lt;=0),0,MAX(0,F$49-F$50)*F$51)</f>
        <v>0</v>
      </c>
      <c r="G52" s="311"/>
      <c r="H52" s="292"/>
      <c r="I52" s="288"/>
      <c r="J52" s="288"/>
      <c r="K52" s="115">
        <f>IF(OR(K$37&lt;1000,K$17&lt;=0),0,MAX(0,K$49-K$50)*K$51)</f>
        <v>0</v>
      </c>
      <c r="L52" s="311"/>
      <c r="M52" s="292"/>
      <c r="N52" s="288"/>
      <c r="O52" s="288"/>
      <c r="P52" s="115">
        <f>IF(OR(P$37&lt;1000,P$17&lt;=0),0,MAX(0,P$49-P$50)*P$51)</f>
        <v>0</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39241.261475793348</v>
      </c>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1823.8813351341169</v>
      </c>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4052</v>
      </c>
      <c r="D4" s="149">
        <f>'Pt 1 Summary of Data'!$K$56+'Pt 1 Summary of Data'!$M$56-'Pt 1 Summary of Data'!$N$56</f>
        <v>1</v>
      </c>
      <c r="E4" s="149">
        <f>'Pt 1 Summary of Data'!$Q$56+'Pt 1 Summary of Data'!$S$56-'Pt 1 Summary of Data'!$T$56</f>
        <v>0</v>
      </c>
      <c r="F4" s="149">
        <f>'Pt 1 Summary of Data'!$V$56</f>
        <v>0</v>
      </c>
      <c r="G4" s="149">
        <f>'Pt 1 Summary of Data'!$Y$56</f>
        <v>0</v>
      </c>
      <c r="H4" s="149">
        <f>'Pt 1 Summary of Data'!$AB$56</f>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 ca="1">'Pt 3 MLR and Rebate Calculation'!$F$52</f>
        <v>0</v>
      </c>
      <c r="D11" s="119">
        <f>'Pt 3 MLR and Rebate Calculation'!$K$52</f>
        <v>0</v>
      </c>
      <c r="E11" s="119">
        <f>'Pt 3 MLR and Rebate Calculation'!$P$52</f>
        <v>0</v>
      </c>
      <c r="F11" s="119">
        <f>'Pt 3 MLR and Rebate Calculation'!$T$52</f>
        <v>0</v>
      </c>
      <c r="G11" s="119">
        <f>'Pt 3 MLR and Rebate Calculation'!$X$52</f>
        <v>0</v>
      </c>
      <c r="H11" s="119">
        <f>'Pt 3 MLR and Rebate Calculation'!$AB$52</f>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494</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2015-07-22T22:03:03Z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