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R49" i="10"/>
  <c r="Q49" i="10"/>
  <c r="H11" i="16"/>
  <c r="H4" i="16"/>
  <c r="G4" i="16"/>
  <c r="F4" i="16"/>
  <c r="E4" i="16"/>
  <c r="D4" i="16"/>
  <c r="C4" i="16"/>
  <c r="AB52" i="10"/>
  <c r="X52" i="10"/>
  <c r="G11" i="16" s="1"/>
  <c r="T52" i="10"/>
  <c r="F11" i="16" s="1"/>
  <c r="AB51" i="10"/>
  <c r="X51" i="10"/>
  <c r="T51" i="10"/>
  <c r="P51" i="10"/>
  <c r="AB50" i="10"/>
  <c r="AB47" i="10"/>
  <c r="AB46" i="10"/>
  <c r="AB45" i="10"/>
  <c r="AA45" i="10"/>
  <c r="AB38" i="10" s="1"/>
  <c r="Z45" i="10"/>
  <c r="Y45" i="10"/>
  <c r="X45" i="10"/>
  <c r="X46" i="10" s="1"/>
  <c r="W45" i="10"/>
  <c r="V45" i="10"/>
  <c r="U45" i="10"/>
  <c r="T45" i="10"/>
  <c r="T46" i="10" s="1"/>
  <c r="S45" i="10"/>
  <c r="R45" i="10"/>
  <c r="Q45" i="10"/>
  <c r="P44" i="10"/>
  <c r="O44" i="10"/>
  <c r="N44" i="10"/>
  <c r="M44" i="10"/>
  <c r="AB41" i="10"/>
  <c r="X41" i="10"/>
  <c r="T41" i="10"/>
  <c r="AB40" i="10"/>
  <c r="X40" i="10"/>
  <c r="T40" i="10"/>
  <c r="P40" i="10"/>
  <c r="K40" i="10"/>
  <c r="F40" i="10"/>
  <c r="T38" i="10"/>
  <c r="P38" i="10"/>
  <c r="AB37" i="10"/>
  <c r="AA37" i="10"/>
  <c r="X37" i="10"/>
  <c r="W37" i="10"/>
  <c r="T37" i="10"/>
  <c r="S37" i="10"/>
  <c r="P37" i="10"/>
  <c r="O37" i="10"/>
  <c r="L29" i="10"/>
  <c r="L28" i="10"/>
  <c r="L25" i="10"/>
  <c r="L21" i="10"/>
  <c r="L20" i="10"/>
  <c r="L19" i="10"/>
  <c r="L24" i="10" s="1"/>
  <c r="AB17" i="10"/>
  <c r="AA17" i="10"/>
  <c r="Z17" i="10"/>
  <c r="Y17" i="10"/>
  <c r="X17" i="10"/>
  <c r="W17" i="10"/>
  <c r="V17" i="10"/>
  <c r="U17" i="10"/>
  <c r="T17" i="10"/>
  <c r="S17" i="10"/>
  <c r="R17" i="10"/>
  <c r="T13" i="10" s="1"/>
  <c r="Q17" i="10"/>
  <c r="P17" i="10"/>
  <c r="O17" i="10"/>
  <c r="N17" i="10"/>
  <c r="M17" i="10"/>
  <c r="AB16" i="10"/>
  <c r="AA16" i="10"/>
  <c r="X16" i="10"/>
  <c r="W16" i="10"/>
  <c r="W13" i="10" s="1"/>
  <c r="T16" i="10"/>
  <c r="R13" i="10" s="1"/>
  <c r="S16" i="10"/>
  <c r="Q13" i="10" s="1"/>
  <c r="P16" i="10"/>
  <c r="O16" i="10"/>
  <c r="L16" i="10"/>
  <c r="K16" i="10"/>
  <c r="J16" i="10"/>
  <c r="G16" i="10"/>
  <c r="F16" i="10"/>
  <c r="E16" i="10"/>
  <c r="AB15" i="10"/>
  <c r="AA15" i="10"/>
  <c r="X15" i="10"/>
  <c r="W15" i="10"/>
  <c r="T15" i="10"/>
  <c r="S15" i="10"/>
  <c r="P15" i="10"/>
  <c r="O15" i="10"/>
  <c r="L15" i="10"/>
  <c r="AB13" i="10"/>
  <c r="AA13" i="10"/>
  <c r="Z13" i="10"/>
  <c r="Y13" i="10"/>
  <c r="X13" i="10"/>
  <c r="V13" i="10"/>
  <c r="U13" i="10"/>
  <c r="S13" i="10"/>
  <c r="P12" i="10"/>
  <c r="O12" i="10"/>
  <c r="N12" i="10"/>
  <c r="M12" i="10"/>
  <c r="K11" i="10"/>
  <c r="J11" i="10"/>
  <c r="F11" i="10"/>
  <c r="E11" i="10"/>
  <c r="L10" i="10"/>
  <c r="J10" i="10"/>
  <c r="K10" i="10" s="1"/>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T55" i="18"/>
  <c r="AT22" i="4" s="1"/>
  <c r="AS55" i="18"/>
  <c r="AC55" i="18"/>
  <c r="AC22" i="4" s="1"/>
  <c r="AB55" i="18"/>
  <c r="AA55" i="18"/>
  <c r="AA22" i="4" s="1"/>
  <c r="Z55" i="18"/>
  <c r="Y55" i="18"/>
  <c r="Y22" i="4" s="1"/>
  <c r="X55" i="18"/>
  <c r="W55" i="18"/>
  <c r="W22" i="4" s="1"/>
  <c r="V55" i="18"/>
  <c r="U55" i="18"/>
  <c r="U22" i="4" s="1"/>
  <c r="T55" i="18"/>
  <c r="S55" i="18"/>
  <c r="R55" i="18"/>
  <c r="Q55" i="18"/>
  <c r="Q22" i="4" s="1"/>
  <c r="P55" i="18"/>
  <c r="P22" i="4" s="1"/>
  <c r="O55" i="18"/>
  <c r="N55" i="18"/>
  <c r="M55" i="18"/>
  <c r="M22" i="4" s="1"/>
  <c r="L55" i="18"/>
  <c r="L22" i="4" s="1"/>
  <c r="K55" i="18"/>
  <c r="J55" i="18"/>
  <c r="I55" i="18"/>
  <c r="H55" i="18"/>
  <c r="G55" i="18"/>
  <c r="F55" i="18"/>
  <c r="E55" i="18"/>
  <c r="D55" i="18"/>
  <c r="AU54" i="18"/>
  <c r="AT54" i="18"/>
  <c r="AS54" i="18"/>
  <c r="AC54" i="18"/>
  <c r="AB54" i="18"/>
  <c r="AA54" i="18"/>
  <c r="Z54" i="18"/>
  <c r="Y54" i="18"/>
  <c r="X54" i="18"/>
  <c r="X12" i="4" s="1"/>
  <c r="W54" i="18"/>
  <c r="V54" i="18"/>
  <c r="U54" i="18"/>
  <c r="U12" i="4" s="1"/>
  <c r="T54" i="18"/>
  <c r="S54" i="18"/>
  <c r="R54" i="18"/>
  <c r="R12" i="4" s="1"/>
  <c r="Q54" i="18"/>
  <c r="Q12" i="4" s="1"/>
  <c r="P54" i="18"/>
  <c r="O54" i="18"/>
  <c r="N54" i="18"/>
  <c r="M54" i="18"/>
  <c r="L54" i="18"/>
  <c r="K54" i="18"/>
  <c r="J54" i="18"/>
  <c r="J12" i="4" s="1"/>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U22" i="4"/>
  <c r="AS22" i="4"/>
  <c r="AB22" i="4"/>
  <c r="Z22" i="4"/>
  <c r="X22" i="4"/>
  <c r="V22" i="4"/>
  <c r="T22" i="4"/>
  <c r="S22" i="4"/>
  <c r="R22" i="4"/>
  <c r="O22" i="4"/>
  <c r="N22" i="4"/>
  <c r="K22" i="4"/>
  <c r="J22" i="4"/>
  <c r="I22" i="4"/>
  <c r="H22" i="4"/>
  <c r="G22" i="4"/>
  <c r="F22" i="4"/>
  <c r="E22" i="4"/>
  <c r="D22" i="4"/>
  <c r="AU12" i="4"/>
  <c r="AT12" i="4"/>
  <c r="AS12" i="4"/>
  <c r="AC12" i="4"/>
  <c r="AB12" i="4"/>
  <c r="AA12" i="4"/>
  <c r="Z12" i="4"/>
  <c r="Y12" i="4"/>
  <c r="W12" i="4"/>
  <c r="V12" i="4"/>
  <c r="T12" i="4"/>
  <c r="S12" i="4"/>
  <c r="P12" i="4"/>
  <c r="O12" i="4"/>
  <c r="N12" i="4"/>
  <c r="M12" i="4"/>
  <c r="L12" i="4"/>
  <c r="K12" i="4"/>
  <c r="I12" i="4"/>
  <c r="H12" i="4"/>
  <c r="G12" i="4"/>
  <c r="F12" i="4"/>
  <c r="E12" i="4"/>
  <c r="D12" i="4"/>
  <c r="AU5" i="4"/>
  <c r="AT5" i="4"/>
  <c r="AS5" i="4"/>
  <c r="AC5" i="4"/>
  <c r="AB5" i="4"/>
  <c r="AA5" i="4"/>
  <c r="Z5" i="4"/>
  <c r="Y5" i="4"/>
  <c r="X5" i="4"/>
  <c r="W5" i="4"/>
  <c r="V5" i="4"/>
  <c r="U5" i="4"/>
  <c r="T5" i="4"/>
  <c r="S5" i="4"/>
  <c r="R5" i="4"/>
  <c r="Q5" i="4"/>
  <c r="P5" i="4"/>
  <c r="O5" i="4"/>
  <c r="N5" i="4"/>
  <c r="M5" i="4"/>
  <c r="L5" i="4"/>
  <c r="K5" i="4"/>
  <c r="J5" i="4"/>
  <c r="I5" i="4"/>
  <c r="G7" i="10" s="1"/>
  <c r="H5" i="4"/>
  <c r="G5" i="4"/>
  <c r="F5" i="4"/>
  <c r="E5" i="4"/>
  <c r="D5" i="4"/>
  <c r="E15" i="10" l="1"/>
  <c r="L23" i="10"/>
  <c r="L27" i="10" s="1"/>
  <c r="L31" i="10" s="1"/>
  <c r="L32" i="10" s="1"/>
  <c r="L33" i="10" s="1"/>
  <c r="J7" i="10"/>
  <c r="K7" i="10" s="1"/>
  <c r="J15" i="10"/>
  <c r="F15" i="10"/>
  <c r="K15" i="10"/>
  <c r="G15" i="10"/>
  <c r="G28" i="10" s="1"/>
  <c r="E7" i="10"/>
  <c r="X47" i="10"/>
  <c r="X50" i="10" s="1"/>
  <c r="T47" i="10"/>
  <c r="T50" i="10" s="1"/>
  <c r="X38" i="10"/>
  <c r="P41" i="10"/>
  <c r="P46" i="10" s="1"/>
  <c r="P47" i="10" s="1"/>
  <c r="P50" i="10" s="1"/>
  <c r="P52" i="10" s="1"/>
  <c r="E11" i="16" s="1"/>
  <c r="L26" i="10" l="1"/>
  <c r="L30" i="10" s="1"/>
  <c r="J17" i="10"/>
  <c r="J12" i="10"/>
  <c r="H12" i="10"/>
  <c r="I12" i="10"/>
  <c r="G20" i="10"/>
  <c r="J37" i="10"/>
  <c r="K37" i="10" s="1"/>
  <c r="K17" i="10"/>
  <c r="G29" i="10"/>
  <c r="G21" i="10"/>
  <c r="H17" i="10"/>
  <c r="G19" i="10"/>
  <c r="G24" i="10" s="1"/>
  <c r="I17" i="10"/>
  <c r="F7" i="10"/>
  <c r="C12" i="10" s="1"/>
  <c r="E12" i="10"/>
  <c r="C17" i="10"/>
  <c r="E37" i="10"/>
  <c r="E17" i="10"/>
  <c r="G25" i="10"/>
  <c r="D12" i="10" l="1"/>
  <c r="F12" i="10" s="1"/>
  <c r="D17" i="10"/>
  <c r="J44" i="10"/>
  <c r="I44" i="10"/>
  <c r="H44" i="10"/>
  <c r="G23" i="10"/>
  <c r="G27" i="10" s="1"/>
  <c r="F17" i="10"/>
  <c r="K12" i="10"/>
  <c r="K44" i="10" s="1"/>
  <c r="C44" i="10"/>
  <c r="K51" i="10"/>
  <c r="K38" i="10"/>
  <c r="K41" i="10" s="1"/>
  <c r="E44" i="10"/>
  <c r="F37" i="10"/>
  <c r="G26" i="10"/>
  <c r="G30" i="10" s="1"/>
  <c r="G31" i="10"/>
  <c r="G32" i="10" s="1"/>
  <c r="G33" i="10" s="1"/>
  <c r="D44" i="10" l="1"/>
  <c r="K46" i="10"/>
  <c r="K47" i="10" s="1"/>
  <c r="K50" i="10" s="1"/>
  <c r="K52" i="10" s="1"/>
  <c r="D11" i="16" s="1"/>
  <c r="F51" i="10"/>
  <c r="F44" i="10"/>
  <c r="F38" i="10"/>
  <c r="F41" i="10" s="1"/>
  <c r="F46" i="10" l="1"/>
  <c r="F47" i="10" s="1"/>
  <c r="F50" i="10" s="1"/>
  <c r="F52" i="10" s="1"/>
  <c r="C11" i="16" s="1"/>
</calcChain>
</file>

<file path=xl/sharedStrings.xml><?xml version="1.0" encoding="utf-8"?>
<sst xmlns="http://schemas.openxmlformats.org/spreadsheetml/2006/main" count="570" uniqueCount="509">
  <si>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</si>
  <si>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</si>
  <si>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</si>
  <si>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</si>
  <si>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</si>
  <si>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</si>
  <si>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</si>
  <si>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</si>
  <si>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</si>
  <si>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</si>
  <si>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</si>
  <si>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</si>
  <si>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</si>
  <si>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</si>
  <si>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</si>
  <si>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</si>
  <si>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</si>
  <si>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</si>
  <si>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</si>
  <si>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</si>
  <si>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</si>
  <si>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</si>
  <si>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</si>
  <si>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</si>
  <si>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</si>
  <si>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</si>
  <si>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</si>
  <si>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</si>
  <si>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</si>
  <si>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</si>
  <si>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</si>
  <si>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</si>
  <si>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</si>
  <si>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</si>
  <si>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</si>
  <si>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</si>
  <si>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</si>
  <si>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</si>
  <si>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</si>
  <si>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</si>
  <si>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</si>
  <si>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</si>
  <si>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</si>
  <si>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</si>
  <si>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</si>
  <si>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</si>
  <si>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</si>
  <si>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</si>
  <si>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</si>
  <si>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</si>
  <si>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</si>
  <si>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</si>
  <si>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</si>
  <si>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</si>
  <si>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</si>
  <si>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</si>
  <si>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</si>
  <si>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</si>
  <si>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</si>
  <si>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</si>
  <si>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</si>
  <si>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</si>
  <si>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</si>
  <si>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</si>
  <si>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</si>
  <si>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</si>
  <si>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</si>
  <si>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</si>
  <si>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</si>
  <si>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</si>
  <si>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</si>
  <si>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</si>
  <si>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</si>
  <si>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</si>
  <si>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</si>
  <si>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</si>
  <si>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</si>
  <si>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</si>
  <si>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</si>
  <si>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</si>
  <si>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</si>
  <si>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</si>
  <si>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</si>
  <si>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</si>
  <si>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</si>
  <si>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</si>
  <si>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</si>
  <si>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</si>
  <si>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</si>
  <si>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</si>
  <si>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</si>
  <si>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</si>
  <si>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</si>
  <si>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</si>
  <si>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</si>
  <si>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</si>
  <si>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</si>
  <si>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</si>
  <si>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</si>
  <si>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</si>
  <si>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</si>
  <si>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</si>
  <si>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</si>
  <si>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</si>
  <si>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</si>
  <si>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</si>
  <si>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</si>
  <si>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</si>
  <si>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</si>
  <si>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</si>
  <si>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</si>
  <si>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</si>
  <si>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</si>
  <si>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</si>
  <si>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</si>
  <si>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</si>
  <si>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</si>
  <si>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</si>
  <si>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</si>
  <si>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</si>
  <si>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</si>
  <si>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</si>
  <si>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</si>
  <si>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</si>
  <si>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</si>
  <si>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</si>
  <si>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</si>
  <si>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</si>
  <si>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</si>
  <si>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</si>
  <si>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</si>
  <si>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</si>
  <si>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</si>
  <si>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</si>
  <si>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</si>
  <si>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</si>
  <si>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</si>
  <si>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</si>
  <si>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</si>
  <si>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</si>
  <si>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</si>
  <si>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</si>
  <si>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</si>
  <si>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</si>
  <si>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</si>
  <si>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</si>
  <si>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</si>
  <si>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</si>
  <si>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</si>
  <si>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</si>
  <si>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</si>
  <si>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</si>
  <si>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</si>
  <si>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</si>
  <si>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</si>
  <si>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</si>
  <si>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</si>
  <si>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</si>
  <si>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</si>
  <si>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</si>
  <si>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</si>
  <si>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</si>
  <si>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</si>
  <si>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</si>
  <si>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</si>
  <si>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</si>
  <si>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</si>
  <si>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</si>
  <si>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</si>
  <si>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</si>
  <si>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</si>
  <si>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</si>
  <si>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</si>
  <si>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</si>
  <si>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</si>
  <si>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</si>
  <si>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</si>
  <si>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</si>
  <si>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</si>
  <si>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</si>
  <si>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</si>
  <si>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</si>
  <si>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</si>
  <si>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</si>
  <si>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</si>
  <si>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</si>
  <si>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</si>
  <si>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</si>
  <si>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</si>
  <si>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</si>
  <si>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</si>
  <si>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</si>
  <si>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</si>
  <si>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</si>
  <si>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</si>
  <si>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</si>
  <si>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</si>
  <si>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</si>
  <si>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</si>
  <si>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</si>
  <si>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</si>
  <si>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</si>
  <si>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</si>
  <si>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</si>
  <si>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</si>
  <si>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</si>
  <si>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</si>
  <si>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</si>
  <si>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</si>
  <si>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</si>
  <si>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</si>
  <si>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</si>
  <si>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</si>
  <si>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</si>
  <si>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</si>
  <si>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</si>
  <si>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</si>
  <si>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</si>
  <si>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</si>
  <si>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</si>
  <si>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</si>
  <si>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</si>
  <si>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</si>
  <si>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</si>
  <si>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</si>
  <si>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</si>
  <si>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</si>
  <si>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</si>
  <si>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</si>
  <si>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</si>
  <si>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</si>
  <si>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</si>
  <si>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</si>
  <si>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</si>
  <si>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</si>
  <si>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</si>
  <si>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</si>
  <si>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</si>
  <si>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</si>
  <si>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</si>
  <si>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</si>
  <si>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</si>
  <si>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</si>
  <si>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</si>
  <si>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</si>
  <si>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</si>
  <si>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</si>
  <si>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</si>
  <si>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</si>
  <si>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</si>
  <si>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</si>
  <si>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</si>
  <si>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</si>
  <si>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</si>
  <si>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</si>
  <si>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</si>
  <si>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</si>
  <si>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</si>
  <si>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</si>
  <si>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</si>
  <si>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</si>
  <si>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</si>
  <si>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</si>
  <si>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</si>
  <si>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</si>
  <si>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</si>
  <si>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</si>
  <si>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</si>
  <si>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</si>
  <si>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</si>
  <si>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</si>
  <si>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</si>
  <si>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</si>
  <si>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</si>
  <si>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</si>
  <si>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</si>
  <si>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</si>
  <si>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</si>
  <si>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</si>
  <si>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</si>
  <si>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</si>
  <si>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</si>
  <si>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</si>
  <si>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</si>
  <si>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</si>
  <si>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</si>
  <si>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</si>
  <si>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</si>
  <si>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</si>
  <si>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</si>
  <si>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</si>
  <si>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</si>
  <si>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</si>
  <si>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</si>
  <si>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</si>
  <si>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</si>
  <si>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</si>
  <si>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</si>
  <si>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</si>
  <si>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</si>
  <si>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</si>
  <si>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</si>
  <si>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</si>
  <si>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</si>
  <si>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</si>
  <si>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</si>
  <si>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</si>
  <si>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</si>
  <si>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</si>
  <si>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</si>
  <si>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</si>
  <si>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</si>
  <si>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</si>
  <si>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</si>
  <si>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</si>
  <si>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</si>
  <si>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</si>
  <si>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</si>
  <si>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</si>
  <si>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</si>
  <si>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</si>
  <si>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</si>
  <si>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</si>
  <si>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</si>
  <si>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</si>
  <si>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</si>
  <si>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</si>
  <si>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</si>
  <si>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</si>
  <si>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</si>
  <si>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</si>
  <si>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</si>
  <si>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</si>
  <si>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</si>
  <si>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</si>
  <si>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</si>
  <si>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</si>
  <si>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</si>
  <si>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</si>
  <si>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</si>
  <si>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</si>
  <si>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</si>
  <si>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</si>
  <si>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</si>
  <si>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</si>
  <si>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</si>
  <si>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</si>
  <si>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</si>
  <si>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</si>
  <si>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</si>
  <si>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</si>
  <si>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</si>
  <si>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</si>
  <si>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</si>
  <si>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</si>
  <si>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</si>
  <si>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</si>
  <si>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</si>
  <si>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</si>
  <si>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</si>
  <si>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</si>
  <si>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</si>
  <si>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</si>
  <si>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</si>
  <si>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</si>
  <si>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</si>
  <si>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</si>
  <si>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</si>
  <si>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</si>
  <si>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</si>
  <si>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</si>
  <si>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</si>
  <si>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</si>
  <si>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</si>
  <si>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</si>
  <si>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</si>
  <si>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</si>
  <si>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</si>
  <si>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</si>
  <si>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</si>
  <si>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</si>
  <si>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</si>
  <si>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</si>
  <si>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</si>
  <si>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</si>
  <si>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</si>
  <si>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</si>
  <si>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</si>
  <si>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</si>
  <si>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</si>
  <si>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</si>
  <si>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</si>
  <si>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</si>
  <si>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</si>
  <si>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</si>
  <si>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</si>
  <si>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</si>
  <si>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</si>
  <si>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</si>
  <si>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</si>
  <si>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</si>
  <si>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</si>
  <si>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</si>
  <si>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</si>
  <si>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</si>
  <si>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</si>
  <si>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</si>
  <si>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</si>
  <si>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</si>
  <si>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</si>
  <si>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</si>
  <si>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</si>
  <si>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</si>
  <si>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</si>
  <si>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</si>
  <si>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</si>
  <si>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</si>
  <si>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</si>
  <si>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</si>
  <si>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</si>
  <si>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</si>
  <si>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</si>
  <si>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</si>
  <si>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</si>
  <si>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</si>
  <si>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</si>
  <si>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</si>
  <si>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</si>
  <si>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</si>
  <si>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</si>
  <si>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</si>
  <si>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</si>
  <si>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</si>
  <si>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</si>
  <si>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</si>
  <si>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</si>
  <si>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</si>
  <si>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</si>
  <si>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</si>
  <si>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</si>
  <si>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</si>
  <si>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</si>
  <si>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</si>
  <si>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</si>
  <si>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</si>
  <si>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</si>
  <si>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</si>
  <si>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</si>
  <si>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</si>
  <si>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</si>
  <si>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</si>
  <si>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</si>
  <si>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</si>
  <si>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</si>
  <si>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</si>
  <si>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</si>
  <si>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</si>
  <si>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</si>
  <si>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</si>
  <si>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</si>
  <si>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</si>
  <si>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</si>
  <si>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</si>
  <si>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</si>
  <si>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</si>
  <si>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</si>
  <si>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</si>
  <si>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</si>
  <si>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</si>
  <si>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</si>
  <si>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</si>
  <si>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</si>
  <si>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</si>
  <si>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</si>
  <si>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</si>
  <si>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</si>
  <si>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</si>
  <si>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</si>
  <si>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</si>
  <si>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</si>
  <si>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</si>
  <si>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</si>
  <si>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</si>
  <si>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</si>
  <si>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</si>
  <si>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</si>
  <si>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</si>
  <si>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</si>
  <si>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</si>
  <si>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</si>
  <si>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</si>
  <si>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</si>
  <si>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</si>
  <si>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</si>
  <si>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</si>
  <si>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</si>
  <si>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</si>
  <si>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</si>
  <si>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</si>
  <si>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</si>
  <si>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</si>
  <si>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</si>
  <si>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</si>
  <si>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66105</t>
  </si>
  <si>
    <t>219</t>
  </si>
  <si>
    <t>Humana Health Plan, Inc.</t>
  </si>
  <si>
    <t>Humana Insurance of Puerto Rico, Inc.</t>
  </si>
  <si>
    <t>A written notice was mailed to the owner of the unclaimed rebate at the last known address.</t>
  </si>
  <si>
    <t>For individual subscribers, we disbursed the unclaimed rebates according to the escheat laws of the particular state.  For groups that were out of business or that were unreachable, we disbursed the unclaimed rebates to the subscribers.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</si>
</sst>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10" sqref="D10"/>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138</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32249093</v>
      </c>
      <c r="E5" s="106">
        <f>SUM('Pt 2 Premium and Claims'!E$5,'Pt 2 Premium and Claims'!E$6,-'Pt 2 Premium and Claims'!E$7,-'Pt 2 Premium and Claims'!E$13,'Pt 2 Premium and Claims'!E$14:'Pt 2 Premium and Claims'!E$17)</f>
        <v>34439060.490000196</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35874620</v>
      </c>
      <c r="K5" s="106">
        <f>SUM('Pt 2 Premium and Claims'!K$5,'Pt 2 Premium and Claims'!K$6,-'Pt 2 Premium and Claims'!K$7,-'Pt 2 Premium and Claims'!K$13,'Pt 2 Premium and Claims'!K$14,'Pt 2 Premium and Claims'!K$16:'Pt 2 Premium and Claims'!K$17)</f>
        <v>25747591.035349298</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12805123</v>
      </c>
      <c r="Q5" s="106">
        <f>SUM('Pt 2 Premium and Claims'!Q$5,'Pt 2 Premium and Claims'!Q$6,-'Pt 2 Premium and Claims'!Q$7,-'Pt 2 Premium and Claims'!Q$13,'Pt 2 Premium and Claims'!Q$14)</f>
        <v>6859609.8049509013</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232408934</v>
      </c>
      <c r="AT5" s="107">
        <f>SUM('Pt 2 Premium and Claims'!AT$5,'Pt 2 Premium and Claims'!AT$6,-'Pt 2 Premium and Claims'!AT$7,-'Pt 2 Premium and Claims'!AT$13,'Pt 2 Premium and Claims'!AT$14)</f>
        <v>12238972</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-58710</v>
      </c>
      <c r="E7" s="110">
        <v>-58710</v>
      </c>
      <c r="F7" s="110"/>
      <c r="G7" s="110"/>
      <c r="H7" s="110"/>
      <c r="I7" s="109"/>
      <c r="J7" s="109">
        <v>-51156</v>
      </c>
      <c r="K7" s="110">
        <v>-36591.508879047004</v>
      </c>
      <c r="L7" s="110"/>
      <c r="M7" s="110"/>
      <c r="N7" s="110"/>
      <c r="O7" s="109"/>
      <c r="P7" s="109">
        <v>-26608</v>
      </c>
      <c r="Q7" s="110">
        <v>-14133.784627308489</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-1036</v>
      </c>
      <c r="AU7" s="113"/>
      <c r="AV7" s="311"/>
      <c r="AW7" s="318"/>
    </row>
    <row r="8" spans="1:49" ht="25.5" x14ac:dyDescent="0.2">
      <c r="B8" s="155" t="s">
        <v>225</v>
      </c>
      <c r="C8" s="62" t="s">
        <v>59</v>
      </c>
      <c r="D8" s="109">
        <v>-164769</v>
      </c>
      <c r="E8" s="289"/>
      <c r="F8" s="290"/>
      <c r="G8" s="290"/>
      <c r="H8" s="290"/>
      <c r="I8" s="293"/>
      <c r="J8" s="109">
        <v>-69820</v>
      </c>
      <c r="K8" s="289"/>
      <c r="L8" s="290"/>
      <c r="M8" s="290"/>
      <c r="N8" s="290"/>
      <c r="O8" s="293"/>
      <c r="P8" s="109">
        <v>-16338.999999999998</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203060</v>
      </c>
      <c r="AT8" s="113">
        <v>-189915</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26705190</v>
      </c>
      <c r="E12" s="106">
        <f>'Pt 2 Premium and Claims'!E$54</f>
        <v>27091713.829499997</v>
      </c>
      <c r="F12" s="106">
        <f>'Pt 2 Premium and Claims'!F$54</f>
        <v>0</v>
      </c>
      <c r="G12" s="106">
        <f>'Pt 2 Premium and Claims'!G$54</f>
        <v>0</v>
      </c>
      <c r="H12" s="106">
        <f>'Pt 2 Premium and Claims'!H$54</f>
        <v>0</v>
      </c>
      <c r="I12" s="105">
        <f>'Pt 2 Premium and Claims'!I$54</f>
        <v>0</v>
      </c>
      <c r="J12" s="105">
        <f>'Pt 2 Premium and Claims'!J$54</f>
        <v>23633541</v>
      </c>
      <c r="K12" s="106">
        <f>'Pt 2 Premium and Claims'!K$54</f>
        <v>17565957.712416746</v>
      </c>
      <c r="L12" s="106">
        <f>'Pt 2 Premium and Claims'!L$54</f>
        <v>0</v>
      </c>
      <c r="M12" s="106">
        <f>'Pt 2 Premium and Claims'!M$54</f>
        <v>0</v>
      </c>
      <c r="N12" s="106">
        <f>'Pt 2 Premium and Claims'!N$54</f>
        <v>0</v>
      </c>
      <c r="O12" s="105">
        <f>'Pt 2 Premium and Claims'!O$54</f>
        <v>0</v>
      </c>
      <c r="P12" s="105">
        <f>'Pt 2 Premium and Claims'!P$54</f>
        <v>16163010</v>
      </c>
      <c r="Q12" s="106">
        <f>'Pt 2 Premium and Claims'!Q$54</f>
        <v>5407921.7108832551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184621410</v>
      </c>
      <c r="AT12" s="107">
        <f>'Pt 2 Premium and Claims'!AT$54</f>
        <v>8144760</v>
      </c>
      <c r="AU12" s="107">
        <f>'Pt 2 Premium and Claims'!AU$54</f>
        <v>0</v>
      </c>
      <c r="AV12" s="312"/>
      <c r="AW12" s="317"/>
    </row>
    <row r="13" spans="1:49" ht="25.5" x14ac:dyDescent="0.2">
      <c r="B13" s="155" t="s">
        <v>230</v>
      </c>
      <c r="C13" s="62" t="s">
        <v>37</v>
      </c>
      <c r="D13" s="109">
        <v>4162866</v>
      </c>
      <c r="E13" s="110">
        <v>4172626.88</v>
      </c>
      <c r="F13" s="110"/>
      <c r="G13" s="289"/>
      <c r="H13" s="290"/>
      <c r="I13" s="109"/>
      <c r="J13" s="109">
        <v>2990079</v>
      </c>
      <c r="K13" s="110">
        <v>3242393.6800034698</v>
      </c>
      <c r="L13" s="110"/>
      <c r="M13" s="289"/>
      <c r="N13" s="290"/>
      <c r="O13" s="109"/>
      <c r="P13" s="109">
        <v>1133231</v>
      </c>
      <c r="Q13" s="110">
        <v>887731.50999652711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63160701</v>
      </c>
      <c r="AT13" s="113">
        <v>161</v>
      </c>
      <c r="AU13" s="113"/>
      <c r="AV13" s="311"/>
      <c r="AW13" s="318"/>
    </row>
    <row r="14" spans="1:49" ht="25.5" x14ac:dyDescent="0.2">
      <c r="B14" s="155" t="s">
        <v>231</v>
      </c>
      <c r="C14" s="62" t="s">
        <v>6</v>
      </c>
      <c r="D14" s="109">
        <v>301148</v>
      </c>
      <c r="E14" s="110">
        <v>292486.35000000003</v>
      </c>
      <c r="F14" s="110"/>
      <c r="G14" s="288"/>
      <c r="H14" s="291"/>
      <c r="I14" s="109"/>
      <c r="J14" s="109">
        <v>321618</v>
      </c>
      <c r="K14" s="110">
        <v>336092.56568683096</v>
      </c>
      <c r="L14" s="110"/>
      <c r="M14" s="288"/>
      <c r="N14" s="291"/>
      <c r="O14" s="109"/>
      <c r="P14" s="109">
        <v>110141</v>
      </c>
      <c r="Q14" s="110">
        <v>86287.094313169189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16621322</v>
      </c>
      <c r="AT14" s="113">
        <v>74</v>
      </c>
      <c r="AU14" s="113"/>
      <c r="AV14" s="311"/>
      <c r="AW14" s="318"/>
    </row>
    <row r="15" spans="1:49" ht="38.25" x14ac:dyDescent="0.2">
      <c r="B15" s="155" t="s">
        <v>232</v>
      </c>
      <c r="C15" s="62" t="s">
        <v>7</v>
      </c>
      <c r="D15" s="109">
        <v>1044</v>
      </c>
      <c r="E15" s="110">
        <v>1044</v>
      </c>
      <c r="F15" s="110"/>
      <c r="G15" s="288"/>
      <c r="H15" s="294"/>
      <c r="I15" s="109"/>
      <c r="J15" s="109">
        <v>1285</v>
      </c>
      <c r="K15" s="110">
        <v>1285</v>
      </c>
      <c r="L15" s="110"/>
      <c r="M15" s="288"/>
      <c r="N15" s="294"/>
      <c r="O15" s="109"/>
      <c r="P15" s="109">
        <v>376</v>
      </c>
      <c r="Q15" s="110">
        <v>376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7544</v>
      </c>
      <c r="AT15" s="113">
        <v>629</v>
      </c>
      <c r="AU15" s="113"/>
      <c r="AV15" s="311"/>
      <c r="AW15" s="318"/>
    </row>
    <row r="16" spans="1:49" ht="25.5" x14ac:dyDescent="0.2">
      <c r="B16" s="155" t="s">
        <v>233</v>
      </c>
      <c r="C16" s="62" t="s">
        <v>61</v>
      </c>
      <c r="D16" s="109">
        <v>-1549253</v>
      </c>
      <c r="E16" s="289"/>
      <c r="F16" s="290"/>
      <c r="G16" s="291"/>
      <c r="H16" s="291"/>
      <c r="I16" s="293"/>
      <c r="J16" s="109"/>
      <c r="K16" s="289"/>
      <c r="L16" s="290"/>
      <c r="M16" s="291"/>
      <c r="N16" s="291"/>
      <c r="O16" s="293"/>
      <c r="P16" s="109">
        <v>-4908346</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605784</v>
      </c>
      <c r="AT16" s="113">
        <v>32462.000000000004</v>
      </c>
      <c r="AU16" s="113"/>
      <c r="AV16" s="311"/>
      <c r="AW16" s="318"/>
    </row>
    <row r="17" spans="1:49" x14ac:dyDescent="0.2">
      <c r="B17" s="155" t="s">
        <v>234</v>
      </c>
      <c r="C17" s="62" t="s">
        <v>62</v>
      </c>
      <c r="D17" s="109">
        <v>39299</v>
      </c>
      <c r="E17" s="288"/>
      <c r="F17" s="291"/>
      <c r="G17" s="291"/>
      <c r="H17" s="291"/>
      <c r="I17" s="292"/>
      <c r="J17" s="109">
        <v>-1665525</v>
      </c>
      <c r="K17" s="288"/>
      <c r="L17" s="291"/>
      <c r="M17" s="291"/>
      <c r="N17" s="291"/>
      <c r="O17" s="292"/>
      <c r="P17" s="109">
        <v>168190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v>1333921</v>
      </c>
      <c r="E18" s="288"/>
      <c r="F18" s="291"/>
      <c r="G18" s="291"/>
      <c r="H18" s="294"/>
      <c r="I18" s="292"/>
      <c r="J18" s="109">
        <v>1390663</v>
      </c>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1986209</v>
      </c>
      <c r="E19" s="288"/>
      <c r="F19" s="291"/>
      <c r="G19" s="291"/>
      <c r="H19" s="291"/>
      <c r="I19" s="292"/>
      <c r="J19" s="109">
        <v>1652260</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612989</v>
      </c>
      <c r="E20" s="288"/>
      <c r="F20" s="291"/>
      <c r="G20" s="291"/>
      <c r="H20" s="291"/>
      <c r="I20" s="292"/>
      <c r="J20" s="109">
        <v>1927121</v>
      </c>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62799</v>
      </c>
      <c r="E22" s="115">
        <f>'Pt 2 Premium and Claims'!E$55</f>
        <v>62799</v>
      </c>
      <c r="F22" s="115">
        <f>'Pt 2 Premium and Claims'!F$55</f>
        <v>0</v>
      </c>
      <c r="G22" s="115">
        <f>'Pt 2 Premium and Claims'!G$55</f>
        <v>0</v>
      </c>
      <c r="H22" s="115">
        <f>'Pt 2 Premium and Claims'!H$55</f>
        <v>0</v>
      </c>
      <c r="I22" s="114">
        <f>'Pt 2 Premium and Claims'!I$55</f>
        <v>0</v>
      </c>
      <c r="J22" s="114">
        <f>'Pt 2 Premium and Claims'!J$55</f>
        <v>38618</v>
      </c>
      <c r="K22" s="115">
        <f>'Pt 2 Premium and Claims'!K$55</f>
        <v>38215.35</v>
      </c>
      <c r="L22" s="115">
        <f>'Pt 2 Premium and Claims'!L$55</f>
        <v>0</v>
      </c>
      <c r="M22" s="115">
        <f>'Pt 2 Premium and Claims'!M$55</f>
        <v>0</v>
      </c>
      <c r="N22" s="115">
        <f>'Pt 2 Premium and Claims'!N$55</f>
        <v>0</v>
      </c>
      <c r="O22" s="114">
        <f>'Pt 2 Premium and Claims'!O$55</f>
        <v>0</v>
      </c>
      <c r="P22" s="114">
        <f>'Pt 2 Premium and Claims'!P$55</f>
        <v>17749</v>
      </c>
      <c r="Q22" s="115">
        <f>'Pt 2 Premium and Claims'!Q$55</f>
        <v>17564.599999999999</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-1296441.523</v>
      </c>
      <c r="E25" s="110">
        <v>-1296441.523</v>
      </c>
      <c r="F25" s="110"/>
      <c r="G25" s="110"/>
      <c r="H25" s="110"/>
      <c r="I25" s="109"/>
      <c r="J25" s="109">
        <v>2236028.9730000002</v>
      </c>
      <c r="K25" s="110">
        <v>1599415.0054604709</v>
      </c>
      <c r="L25" s="110"/>
      <c r="M25" s="110"/>
      <c r="N25" s="110"/>
      <c r="O25" s="109"/>
      <c r="P25" s="109">
        <v>-265941.88779999997</v>
      </c>
      <c r="Q25" s="110">
        <v>-141532.01466373206</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4140677.1200000001</v>
      </c>
      <c r="AT25" s="113">
        <v>495845.93979999999</v>
      </c>
      <c r="AU25" s="113"/>
      <c r="AV25" s="113"/>
      <c r="AW25" s="318"/>
    </row>
    <row r="26" spans="1:49" s="5" customFormat="1" x14ac:dyDescent="0.2">
      <c r="A26" s="35"/>
      <c r="B26" s="158" t="s">
        <v>243</v>
      </c>
      <c r="C26" s="62"/>
      <c r="D26" s="109"/>
      <c r="E26" s="110">
        <v>31481.62</v>
      </c>
      <c r="F26" s="110"/>
      <c r="G26" s="110"/>
      <c r="H26" s="110"/>
      <c r="I26" s="109"/>
      <c r="J26" s="109"/>
      <c r="K26" s="110">
        <v>13211.898032127279</v>
      </c>
      <c r="L26" s="110"/>
      <c r="M26" s="110"/>
      <c r="N26" s="110"/>
      <c r="O26" s="109"/>
      <c r="P26" s="109"/>
      <c r="Q26" s="110">
        <v>3616.034883294873</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402840</v>
      </c>
      <c r="E27" s="110">
        <v>402840</v>
      </c>
      <c r="F27" s="110"/>
      <c r="G27" s="110"/>
      <c r="H27" s="110"/>
      <c r="I27" s="109"/>
      <c r="J27" s="109">
        <v>447626.02999999997</v>
      </c>
      <c r="K27" s="110">
        <v>320183.59236917581</v>
      </c>
      <c r="L27" s="110"/>
      <c r="M27" s="110"/>
      <c r="N27" s="110"/>
      <c r="O27" s="109"/>
      <c r="P27" s="109">
        <v>136323.25</v>
      </c>
      <c r="Q27" s="110">
        <v>72412.938033476094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2904995.82</v>
      </c>
      <c r="AT27" s="113">
        <v>68646.94</v>
      </c>
      <c r="AU27" s="113"/>
      <c r="AV27" s="314"/>
      <c r="AW27" s="318"/>
    </row>
    <row r="28" spans="1:49" s="5" customFormat="1" x14ac:dyDescent="0.2">
      <c r="A28" s="35"/>
      <c r="B28" s="158" t="s">
        <v>245</v>
      </c>
      <c r="C28" s="62"/>
      <c r="D28" s="109">
        <v>963403.26</v>
      </c>
      <c r="E28" s="110">
        <v>150623.53</v>
      </c>
      <c r="F28" s="110"/>
      <c r="G28" s="110"/>
      <c r="H28" s="110"/>
      <c r="I28" s="109"/>
      <c r="J28" s="109">
        <v>547027.6</v>
      </c>
      <c r="K28" s="110">
        <v>59156.93790992217</v>
      </c>
      <c r="L28" s="110"/>
      <c r="M28" s="110"/>
      <c r="N28" s="110"/>
      <c r="O28" s="109"/>
      <c r="P28" s="109">
        <v>228950.85</v>
      </c>
      <c r="Q28" s="110">
        <v>16870.680896373546</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18771.32</v>
      </c>
      <c r="AT28" s="113">
        <v>6122.9</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-75661.762740000107</v>
      </c>
      <c r="E30" s="110">
        <v>-86896.349340000117</v>
      </c>
      <c r="F30" s="110"/>
      <c r="G30" s="110"/>
      <c r="H30" s="110"/>
      <c r="I30" s="109"/>
      <c r="J30" s="109">
        <v>162524.98990000002</v>
      </c>
      <c r="K30" s="110">
        <v>102433.31897447602</v>
      </c>
      <c r="L30" s="110"/>
      <c r="M30" s="110"/>
      <c r="N30" s="110"/>
      <c r="O30" s="109"/>
      <c r="P30" s="109">
        <v>-14957.874669999996</v>
      </c>
      <c r="Q30" s="110">
        <v>-6214.1773484073092</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331662.87389999995</v>
      </c>
      <c r="AT30" s="113">
        <v>37476.968019999993</v>
      </c>
      <c r="AU30" s="113"/>
      <c r="AV30" s="113"/>
      <c r="AW30" s="318"/>
    </row>
    <row r="31" spans="1:49" x14ac:dyDescent="0.2">
      <c r="B31" s="158" t="s">
        <v>248</v>
      </c>
      <c r="C31" s="62"/>
      <c r="D31" s="109">
        <v>420473.78659999999</v>
      </c>
      <c r="E31" s="110">
        <v>409319.38659999997</v>
      </c>
      <c r="F31" s="110"/>
      <c r="G31" s="110"/>
      <c r="H31" s="110"/>
      <c r="I31" s="109"/>
      <c r="J31" s="109">
        <v>451759.56300000002</v>
      </c>
      <c r="K31" s="110">
        <v>323140.27798711578</v>
      </c>
      <c r="L31" s="110"/>
      <c r="M31" s="110"/>
      <c r="N31" s="110"/>
      <c r="O31" s="109"/>
      <c r="P31" s="109">
        <v>140649.99</v>
      </c>
      <c r="Q31" s="110">
        <v>74711.239720876896</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130129.69999999998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993101.07000000007</v>
      </c>
      <c r="F34" s="110"/>
      <c r="G34" s="110"/>
      <c r="H34" s="110"/>
      <c r="I34" s="109"/>
      <c r="J34" s="109"/>
      <c r="K34" s="110">
        <v>374464.77395142231</v>
      </c>
      <c r="L34" s="110"/>
      <c r="M34" s="110"/>
      <c r="N34" s="110"/>
      <c r="O34" s="109"/>
      <c r="P34" s="109"/>
      <c r="Q34" s="110">
        <v>117485.01840278352</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41282.810000000005</v>
      </c>
      <c r="E35" s="110">
        <v>42486.250000000007</v>
      </c>
      <c r="F35" s="110"/>
      <c r="G35" s="110"/>
      <c r="H35" s="110"/>
      <c r="I35" s="109"/>
      <c r="J35" s="109">
        <v>23387.69</v>
      </c>
      <c r="K35" s="110">
        <v>18542.280038381181</v>
      </c>
      <c r="L35" s="110"/>
      <c r="M35" s="110"/>
      <c r="N35" s="110"/>
      <c r="O35" s="109"/>
      <c r="P35" s="109">
        <v>8874.9699999999939</v>
      </c>
      <c r="Q35" s="110">
        <v>4985.1443438143579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174414.43000000002</v>
      </c>
      <c r="AT35" s="113">
        <v>9031.239999999998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143802</v>
      </c>
      <c r="E37" s="118">
        <v>143801.26999999993</v>
      </c>
      <c r="F37" s="118"/>
      <c r="G37" s="118"/>
      <c r="H37" s="118"/>
      <c r="I37" s="117"/>
      <c r="J37" s="117">
        <v>119101</v>
      </c>
      <c r="K37" s="118">
        <v>90614.03</v>
      </c>
      <c r="L37" s="118"/>
      <c r="M37" s="118"/>
      <c r="N37" s="118"/>
      <c r="O37" s="117"/>
      <c r="P37" s="117">
        <v>41854</v>
      </c>
      <c r="Q37" s="118">
        <v>28982.6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1817479</v>
      </c>
      <c r="AT37" s="119">
        <v>476</v>
      </c>
      <c r="AU37" s="119"/>
      <c r="AV37" s="119"/>
      <c r="AW37" s="317"/>
    </row>
    <row r="38" spans="1:49" x14ac:dyDescent="0.2">
      <c r="B38" s="155" t="s">
        <v>255</v>
      </c>
      <c r="C38" s="62" t="s">
        <v>16</v>
      </c>
      <c r="D38" s="109">
        <v>30116</v>
      </c>
      <c r="E38" s="110">
        <v>30115.72</v>
      </c>
      <c r="F38" s="110"/>
      <c r="G38" s="110"/>
      <c r="H38" s="110"/>
      <c r="I38" s="109"/>
      <c r="J38" s="109">
        <v>58166</v>
      </c>
      <c r="K38" s="110">
        <v>37675.86</v>
      </c>
      <c r="L38" s="110"/>
      <c r="M38" s="110"/>
      <c r="N38" s="110"/>
      <c r="O38" s="109"/>
      <c r="P38" s="109">
        <v>21130</v>
      </c>
      <c r="Q38" s="110">
        <v>11937.06</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715010</v>
      </c>
      <c r="AT38" s="113">
        <v>18</v>
      </c>
      <c r="AU38" s="113"/>
      <c r="AV38" s="113"/>
      <c r="AW38" s="318"/>
    </row>
    <row r="39" spans="1:49" x14ac:dyDescent="0.2">
      <c r="B39" s="158" t="s">
        <v>256</v>
      </c>
      <c r="C39" s="62" t="s">
        <v>17</v>
      </c>
      <c r="D39" s="109">
        <v>56672</v>
      </c>
      <c r="E39" s="110">
        <v>56672.06</v>
      </c>
      <c r="F39" s="110"/>
      <c r="G39" s="110"/>
      <c r="H39" s="110"/>
      <c r="I39" s="109"/>
      <c r="J39" s="109">
        <v>49559</v>
      </c>
      <c r="K39" s="110">
        <v>45015.27</v>
      </c>
      <c r="L39" s="110"/>
      <c r="M39" s="110"/>
      <c r="N39" s="110"/>
      <c r="O39" s="109"/>
      <c r="P39" s="109">
        <v>17400</v>
      </c>
      <c r="Q39" s="110">
        <v>15318.960000000003</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918997</v>
      </c>
      <c r="AT39" s="113">
        <v>3029</v>
      </c>
      <c r="AU39" s="113"/>
      <c r="AV39" s="113"/>
      <c r="AW39" s="318"/>
    </row>
    <row r="40" spans="1:49" x14ac:dyDescent="0.2">
      <c r="B40" s="158" t="s">
        <v>257</v>
      </c>
      <c r="C40" s="62" t="s">
        <v>38</v>
      </c>
      <c r="D40" s="109">
        <v>280642</v>
      </c>
      <c r="E40" s="110">
        <v>280641.73</v>
      </c>
      <c r="F40" s="110"/>
      <c r="G40" s="110"/>
      <c r="H40" s="110"/>
      <c r="I40" s="109"/>
      <c r="J40" s="109">
        <v>273343</v>
      </c>
      <c r="K40" s="110">
        <v>256599.60000000003</v>
      </c>
      <c r="L40" s="110"/>
      <c r="M40" s="110"/>
      <c r="N40" s="110"/>
      <c r="O40" s="109"/>
      <c r="P40" s="109">
        <v>97589</v>
      </c>
      <c r="Q40" s="110">
        <v>89927.709999999992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1503439</v>
      </c>
      <c r="AT40" s="113">
        <v>33049</v>
      </c>
      <c r="AU40" s="113"/>
      <c r="AV40" s="113"/>
      <c r="AW40" s="318"/>
    </row>
    <row r="41" spans="1:49" s="5" customFormat="1" ht="25.5" x14ac:dyDescent="0.2">
      <c r="A41" s="35"/>
      <c r="B41" s="158" t="s">
        <v>258</v>
      </c>
      <c r="C41" s="62" t="s">
        <v>129</v>
      </c>
      <c r="D41" s="109">
        <v>77383</v>
      </c>
      <c r="E41" s="110">
        <v>77382.820000000007</v>
      </c>
      <c r="F41" s="110"/>
      <c r="G41" s="110"/>
      <c r="H41" s="110"/>
      <c r="I41" s="109"/>
      <c r="J41" s="109">
        <v>37394</v>
      </c>
      <c r="K41" s="110">
        <v>24221.549999999992</v>
      </c>
      <c r="L41" s="110"/>
      <c r="M41" s="110"/>
      <c r="N41" s="110"/>
      <c r="O41" s="109"/>
      <c r="P41" s="109">
        <v>14454</v>
      </c>
      <c r="Q41" s="110">
        <v>8151.68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793044</v>
      </c>
      <c r="AT41" s="113">
        <v>14183</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579603</v>
      </c>
      <c r="E44" s="118">
        <v>579603</v>
      </c>
      <c r="F44" s="118"/>
      <c r="G44" s="118"/>
      <c r="H44" s="118"/>
      <c r="I44" s="117"/>
      <c r="J44" s="117">
        <v>396964</v>
      </c>
      <c r="K44" s="118">
        <v>264636.38473589765</v>
      </c>
      <c r="L44" s="118"/>
      <c r="M44" s="118"/>
      <c r="N44" s="118"/>
      <c r="O44" s="117"/>
      <c r="P44" s="117">
        <v>160575</v>
      </c>
      <c r="Q44" s="118">
        <v>82476.580160618672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3173010</v>
      </c>
      <c r="AT44" s="119">
        <v>38904</v>
      </c>
      <c r="AU44" s="119"/>
      <c r="AV44" s="119"/>
      <c r="AW44" s="317"/>
    </row>
    <row r="45" spans="1:49" x14ac:dyDescent="0.2">
      <c r="B45" s="161" t="s">
        <v>262</v>
      </c>
      <c r="C45" s="62" t="s">
        <v>19</v>
      </c>
      <c r="D45" s="109">
        <v>552332</v>
      </c>
      <c r="E45" s="110">
        <v>552332</v>
      </c>
      <c r="F45" s="110"/>
      <c r="G45" s="110"/>
      <c r="H45" s="110"/>
      <c r="I45" s="109"/>
      <c r="J45" s="109">
        <v>178811</v>
      </c>
      <c r="K45" s="110">
        <v>119204.50366030821</v>
      </c>
      <c r="L45" s="110"/>
      <c r="M45" s="110"/>
      <c r="N45" s="110"/>
      <c r="O45" s="109"/>
      <c r="P45" s="109">
        <v>62389</v>
      </c>
      <c r="Q45" s="110">
        <v>32045.034156256195</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2585031</v>
      </c>
      <c r="AT45" s="113">
        <v>104921</v>
      </c>
      <c r="AU45" s="113"/>
      <c r="AV45" s="113"/>
      <c r="AW45" s="318"/>
    </row>
    <row r="46" spans="1:49" x14ac:dyDescent="0.2">
      <c r="B46" s="161" t="s">
        <v>263</v>
      </c>
      <c r="C46" s="62" t="s">
        <v>20</v>
      </c>
      <c r="D46" s="109">
        <v>583793</v>
      </c>
      <c r="E46" s="110">
        <v>583793</v>
      </c>
      <c r="F46" s="110"/>
      <c r="G46" s="110"/>
      <c r="H46" s="110"/>
      <c r="I46" s="109"/>
      <c r="J46" s="109">
        <v>320225</v>
      </c>
      <c r="K46" s="110">
        <v>213478.26579249708</v>
      </c>
      <c r="L46" s="110"/>
      <c r="M46" s="110"/>
      <c r="N46" s="110"/>
      <c r="O46" s="109"/>
      <c r="P46" s="109">
        <v>134346</v>
      </c>
      <c r="Q46" s="110">
        <v>69004.506543723968</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4615367</v>
      </c>
      <c r="AT46" s="113">
        <v>83382</v>
      </c>
      <c r="AU46" s="113"/>
      <c r="AV46" s="113"/>
      <c r="AW46" s="318"/>
    </row>
    <row r="47" spans="1:49" x14ac:dyDescent="0.2">
      <c r="B47" s="161" t="s">
        <v>264</v>
      </c>
      <c r="C47" s="62" t="s">
        <v>21</v>
      </c>
      <c r="D47" s="109">
        <v>2074996</v>
      </c>
      <c r="E47" s="110">
        <v>2074996</v>
      </c>
      <c r="F47" s="110"/>
      <c r="G47" s="110"/>
      <c r="H47" s="110"/>
      <c r="I47" s="109"/>
      <c r="J47" s="109">
        <v>1381355</v>
      </c>
      <c r="K47" s="110">
        <v>920881.47347582108</v>
      </c>
      <c r="L47" s="110"/>
      <c r="M47" s="110"/>
      <c r="N47" s="110"/>
      <c r="O47" s="109"/>
      <c r="P47" s="109">
        <v>442791</v>
      </c>
      <c r="Q47" s="110">
        <v>227431.96267102915</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-442756</v>
      </c>
      <c r="AT47" s="113">
        <v>678466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321086.41613999999</v>
      </c>
      <c r="E49" s="110">
        <v>186241.29274</v>
      </c>
      <c r="F49" s="110"/>
      <c r="G49" s="110"/>
      <c r="H49" s="110"/>
      <c r="I49" s="109"/>
      <c r="J49" s="109">
        <v>-62708.562900000034</v>
      </c>
      <c r="K49" s="110">
        <v>-82386.157586464949</v>
      </c>
      <c r="L49" s="110"/>
      <c r="M49" s="110"/>
      <c r="N49" s="110"/>
      <c r="O49" s="109"/>
      <c r="P49" s="109">
        <v>66549.644670000009</v>
      </c>
      <c r="Q49" s="110">
        <v>16688.942571677078</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1399576.4461000003</v>
      </c>
      <c r="AT49" s="113">
        <v>45847.261979999996</v>
      </c>
      <c r="AU49" s="113"/>
      <c r="AV49" s="113"/>
      <c r="AW49" s="318"/>
    </row>
    <row r="50" spans="2:49" ht="25.5" x14ac:dyDescent="0.2">
      <c r="B50" s="155" t="s">
        <v>266</v>
      </c>
      <c r="C50" s="62"/>
      <c r="D50" s="109">
        <v>2205.7300000000005</v>
      </c>
      <c r="E50" s="110">
        <v>2205.7300000000005</v>
      </c>
      <c r="F50" s="110"/>
      <c r="G50" s="110"/>
      <c r="H50" s="110"/>
      <c r="I50" s="109"/>
      <c r="J50" s="109">
        <v>1236.1500000000001</v>
      </c>
      <c r="K50" s="110">
        <v>824.08043800263965</v>
      </c>
      <c r="L50" s="110"/>
      <c r="M50" s="110"/>
      <c r="N50" s="110"/>
      <c r="O50" s="109"/>
      <c r="P50" s="109">
        <v>477.07</v>
      </c>
      <c r="Q50" s="110">
        <v>245.03877999206821</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10313.26</v>
      </c>
      <c r="AT50" s="113">
        <v>433.65999999999997</v>
      </c>
      <c r="AU50" s="113"/>
      <c r="AV50" s="113"/>
      <c r="AW50" s="318"/>
    </row>
    <row r="51" spans="2:49" x14ac:dyDescent="0.2">
      <c r="B51" s="155" t="s">
        <v>267</v>
      </c>
      <c r="C51" s="62"/>
      <c r="D51" s="109">
        <v>4388467</v>
      </c>
      <c r="E51" s="110">
        <v>4388467</v>
      </c>
      <c r="F51" s="110"/>
      <c r="G51" s="110"/>
      <c r="H51" s="110"/>
      <c r="I51" s="109"/>
      <c r="J51" s="109">
        <v>2385500</v>
      </c>
      <c r="K51" s="110">
        <v>1590295.5829432486</v>
      </c>
      <c r="L51" s="110"/>
      <c r="M51" s="110"/>
      <c r="N51" s="110"/>
      <c r="O51" s="109"/>
      <c r="P51" s="109">
        <v>905878</v>
      </c>
      <c r="Q51" s="110">
        <v>465288.61580408487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16894518</v>
      </c>
      <c r="AT51" s="113">
        <v>939488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7281</v>
      </c>
      <c r="E56" s="122">
        <v>7254</v>
      </c>
      <c r="F56" s="122"/>
      <c r="G56" s="122"/>
      <c r="H56" s="122"/>
      <c r="I56" s="121"/>
      <c r="J56" s="121">
        <v>7712</v>
      </c>
      <c r="K56" s="122">
        <v>3449</v>
      </c>
      <c r="L56" s="122"/>
      <c r="M56" s="122"/>
      <c r="N56" s="122"/>
      <c r="O56" s="121"/>
      <c r="P56" s="121">
        <v>4437</v>
      </c>
      <c r="Q56" s="122">
        <v>1054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77989</v>
      </c>
      <c r="AT56" s="123">
        <v>39300</v>
      </c>
      <c r="AU56" s="123"/>
      <c r="AV56" s="123"/>
      <c r="AW56" s="309"/>
    </row>
    <row r="57" spans="2:49" x14ac:dyDescent="0.2">
      <c r="B57" s="161" t="s">
        <v>273</v>
      </c>
      <c r="C57" s="62" t="s">
        <v>25</v>
      </c>
      <c r="D57" s="124">
        <v>13018</v>
      </c>
      <c r="E57" s="125">
        <v>13139</v>
      </c>
      <c r="F57" s="125"/>
      <c r="G57" s="125"/>
      <c r="H57" s="125"/>
      <c r="I57" s="124"/>
      <c r="J57" s="124">
        <v>13407</v>
      </c>
      <c r="K57" s="125">
        <v>5765</v>
      </c>
      <c r="L57" s="125"/>
      <c r="M57" s="125"/>
      <c r="N57" s="125"/>
      <c r="O57" s="124"/>
      <c r="P57" s="124">
        <v>7437</v>
      </c>
      <c r="Q57" s="125">
        <v>1806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83007</v>
      </c>
      <c r="AT57" s="126">
        <v>60802</v>
      </c>
      <c r="AU57" s="126"/>
      <c r="AV57" s="126"/>
      <c r="AW57" s="310"/>
    </row>
    <row r="58" spans="2:49" x14ac:dyDescent="0.2">
      <c r="B58" s="161" t="s">
        <v>274</v>
      </c>
      <c r="C58" s="62" t="s">
        <v>26</v>
      </c>
      <c r="D58" s="330"/>
      <c r="E58" s="331"/>
      <c r="F58" s="331"/>
      <c r="G58" s="331"/>
      <c r="H58" s="331"/>
      <c r="I58" s="330"/>
      <c r="J58" s="124">
        <v>447</v>
      </c>
      <c r="K58" s="125">
        <v>447</v>
      </c>
      <c r="L58" s="125"/>
      <c r="M58" s="125"/>
      <c r="N58" s="125"/>
      <c r="O58" s="124"/>
      <c r="P58" s="124">
        <v>32</v>
      </c>
      <c r="Q58" s="125">
        <v>32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23</v>
      </c>
      <c r="AT58" s="126">
        <v>1361</v>
      </c>
      <c r="AU58" s="126"/>
      <c r="AV58" s="126"/>
      <c r="AW58" s="310"/>
    </row>
    <row r="59" spans="2:49" x14ac:dyDescent="0.2">
      <c r="B59" s="161" t="s">
        <v>275</v>
      </c>
      <c r="C59" s="62" t="s">
        <v>27</v>
      </c>
      <c r="D59" s="124">
        <v>179813</v>
      </c>
      <c r="E59" s="125">
        <v>180110</v>
      </c>
      <c r="F59" s="125"/>
      <c r="G59" s="125"/>
      <c r="H59" s="125"/>
      <c r="I59" s="124"/>
      <c r="J59" s="124">
        <v>178259</v>
      </c>
      <c r="K59" s="125">
        <v>70211</v>
      </c>
      <c r="L59" s="125"/>
      <c r="M59" s="125"/>
      <c r="N59" s="125"/>
      <c r="O59" s="124"/>
      <c r="P59" s="124">
        <v>84053</v>
      </c>
      <c r="Q59" s="125">
        <v>20722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970475</v>
      </c>
      <c r="AT59" s="126">
        <v>413479</v>
      </c>
      <c r="AU59" s="126"/>
      <c r="AV59" s="126"/>
      <c r="AW59" s="310"/>
    </row>
    <row r="60" spans="2:49" x14ac:dyDescent="0.2">
      <c r="B60" s="161" t="s">
        <v>276</v>
      </c>
      <c r="C60" s="62"/>
      <c r="D60" s="127">
        <f t="shared" ref="D60:AC60" si="0">D$59/12</f>
        <v>14984.416666666666</v>
      </c>
      <c r="E60" s="128">
        <f t="shared" si="0"/>
        <v>15009.166666666666</v>
      </c>
      <c r="F60" s="128">
        <f t="shared" si="0"/>
        <v>0</v>
      </c>
      <c r="G60" s="128">
        <f t="shared" si="0"/>
        <v>0</v>
      </c>
      <c r="H60" s="128">
        <f t="shared" si="0"/>
        <v>0</v>
      </c>
      <c r="I60" s="127">
        <f t="shared" si="0"/>
        <v>0</v>
      </c>
      <c r="J60" s="127">
        <f t="shared" si="0"/>
        <v>14854.916666666666</v>
      </c>
      <c r="K60" s="128">
        <f t="shared" si="0"/>
        <v>5850.916666666667</v>
      </c>
      <c r="L60" s="128">
        <f t="shared" si="0"/>
        <v>0</v>
      </c>
      <c r="M60" s="128">
        <f t="shared" si="0"/>
        <v>0</v>
      </c>
      <c r="N60" s="128">
        <f t="shared" si="0"/>
        <v>0</v>
      </c>
      <c r="O60" s="127">
        <f t="shared" si="0"/>
        <v>0</v>
      </c>
      <c r="P60" s="127">
        <f t="shared" si="0"/>
        <v>7004.416666666667</v>
      </c>
      <c r="Q60" s="128">
        <f t="shared" si="0"/>
        <v>1726.8333333333333</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80872.916666666672</v>
      </c>
      <c r="AT60" s="129">
        <f>AT$59/12</f>
        <v>34456.583333333336</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32227388</v>
      </c>
      <c r="E5" s="118">
        <v>31945882.480000194</v>
      </c>
      <c r="F5" s="118"/>
      <c r="G5" s="130"/>
      <c r="H5" s="130"/>
      <c r="I5" s="117"/>
      <c r="J5" s="117">
        <v>35874620</v>
      </c>
      <c r="K5" s="118">
        <v>25719218.065349299</v>
      </c>
      <c r="L5" s="118"/>
      <c r="M5" s="118"/>
      <c r="N5" s="118"/>
      <c r="O5" s="117"/>
      <c r="P5" s="117">
        <v>12805123</v>
      </c>
      <c r="Q5" s="118">
        <v>6859609.8049509013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232408934</v>
      </c>
      <c r="AT5" s="119">
        <v>12301787</v>
      </c>
      <c r="AU5" s="119"/>
      <c r="AV5" s="312"/>
      <c r="AW5" s="317"/>
    </row>
    <row r="6" spans="2:49" x14ac:dyDescent="0.2">
      <c r="B6" s="176" t="s">
        <v>279</v>
      </c>
      <c r="C6" s="133" t="s">
        <v>8</v>
      </c>
      <c r="D6" s="109">
        <v>131185</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23104</v>
      </c>
      <c r="AU6" s="113"/>
      <c r="AV6" s="311"/>
      <c r="AW6" s="318"/>
    </row>
    <row r="7" spans="2:49" x14ac:dyDescent="0.2">
      <c r="B7" s="176" t="s">
        <v>280</v>
      </c>
      <c r="C7" s="133" t="s">
        <v>9</v>
      </c>
      <c r="D7" s="109">
        <v>109480</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85919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0.16999999806284904</v>
      </c>
      <c r="E9" s="288"/>
      <c r="F9" s="288"/>
      <c r="G9" s="288"/>
      <c r="H9" s="288"/>
      <c r="I9" s="292"/>
      <c r="J9" s="109">
        <v>-0.14999999920837581</v>
      </c>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0.43999999947845936</v>
      </c>
      <c r="E11" s="110"/>
      <c r="F11" s="110"/>
      <c r="G11" s="110"/>
      <c r="H11" s="110"/>
      <c r="I11" s="109"/>
      <c r="J11" s="109">
        <v>-0.16000000014901161</v>
      </c>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-5658861</v>
      </c>
      <c r="AT11" s="113"/>
      <c r="AU11" s="113"/>
      <c r="AV11" s="311"/>
      <c r="AW11" s="318"/>
    </row>
    <row r="12" spans="2:49" x14ac:dyDescent="0.2">
      <c r="B12" s="176" t="s">
        <v>283</v>
      </c>
      <c r="C12" s="133" t="s">
        <v>44</v>
      </c>
      <c r="D12" s="109">
        <v>0.4399999980814755</v>
      </c>
      <c r="E12" s="289"/>
      <c r="F12" s="289"/>
      <c r="G12" s="289"/>
      <c r="H12" s="289"/>
      <c r="I12" s="293"/>
      <c r="J12" s="109">
        <v>0.3000000009778887</v>
      </c>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-3825330</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1328793.1000000001</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1164384.9099999999</v>
      </c>
      <c r="F16" s="110"/>
      <c r="G16" s="110"/>
      <c r="H16" s="110"/>
      <c r="I16" s="109"/>
      <c r="J16" s="109"/>
      <c r="K16" s="110">
        <f>27209.69+1163.28</f>
        <v>28372.969999999998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855116</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-183251</v>
      </c>
      <c r="AU19" s="113"/>
      <c r="AV19" s="311"/>
      <c r="AW19" s="318"/>
    </row>
    <row r="20" spans="2:49" s="5" customFormat="1" ht="25.5" x14ac:dyDescent="0.2">
      <c r="B20" s="178" t="s">
        <v>485</v>
      </c>
      <c r="C20" s="133"/>
      <c r="D20" s="109"/>
      <c r="E20" s="110">
        <v>297.25</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26708365</v>
      </c>
      <c r="E23" s="288"/>
      <c r="F23" s="288"/>
      <c r="G23" s="288"/>
      <c r="H23" s="288"/>
      <c r="I23" s="292"/>
      <c r="J23" s="109">
        <v>25320214</v>
      </c>
      <c r="K23" s="288"/>
      <c r="L23" s="288"/>
      <c r="M23" s="288"/>
      <c r="N23" s="288"/>
      <c r="O23" s="292"/>
      <c r="P23" s="109">
        <v>16500665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190144029</v>
      </c>
      <c r="AT23" s="113">
        <v>9081981</v>
      </c>
      <c r="AU23" s="113"/>
      <c r="AV23" s="311"/>
      <c r="AW23" s="318"/>
    </row>
    <row r="24" spans="2:49" ht="28.5" customHeight="1" x14ac:dyDescent="0.2">
      <c r="B24" s="178" t="s">
        <v>114</v>
      </c>
      <c r="C24" s="133"/>
      <c r="D24" s="293"/>
      <c r="E24" s="110">
        <v>27493150.964999996</v>
      </c>
      <c r="F24" s="110"/>
      <c r="G24" s="110"/>
      <c r="H24" s="110"/>
      <c r="I24" s="109"/>
      <c r="J24" s="293"/>
      <c r="K24" s="110">
        <v>17737485.649999995</v>
      </c>
      <c r="L24" s="110"/>
      <c r="M24" s="110"/>
      <c r="N24" s="110"/>
      <c r="O24" s="109"/>
      <c r="P24" s="293"/>
      <c r="Q24" s="110">
        <v>5372240.5200000014</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3129465</v>
      </c>
      <c r="E26" s="288"/>
      <c r="F26" s="288"/>
      <c r="G26" s="288"/>
      <c r="H26" s="288"/>
      <c r="I26" s="292"/>
      <c r="J26" s="109">
        <v>2516655</v>
      </c>
      <c r="K26" s="288"/>
      <c r="L26" s="288"/>
      <c r="M26" s="288"/>
      <c r="N26" s="288"/>
      <c r="O26" s="292"/>
      <c r="P26" s="109">
        <v>1268871</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17370258</v>
      </c>
      <c r="AT26" s="113">
        <v>-313218</v>
      </c>
      <c r="AU26" s="113"/>
      <c r="AV26" s="311"/>
      <c r="AW26" s="318"/>
    </row>
    <row r="27" spans="2:49" s="5" customFormat="1" ht="25.5" x14ac:dyDescent="0.2">
      <c r="B27" s="178" t="s">
        <v>85</v>
      </c>
      <c r="C27" s="133"/>
      <c r="D27" s="293"/>
      <c r="E27" s="110">
        <v>560482.2145000007</v>
      </c>
      <c r="F27" s="110"/>
      <c r="G27" s="110"/>
      <c r="H27" s="110"/>
      <c r="I27" s="109"/>
      <c r="J27" s="293"/>
      <c r="K27" s="110">
        <v>249505.82810357804</v>
      </c>
      <c r="L27" s="110"/>
      <c r="M27" s="110"/>
      <c r="N27" s="110"/>
      <c r="O27" s="109"/>
      <c r="P27" s="293"/>
      <c r="Q27" s="110">
        <v>79575.075196422549</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2490917</v>
      </c>
      <c r="E28" s="289"/>
      <c r="F28" s="289"/>
      <c r="G28" s="289"/>
      <c r="H28" s="289"/>
      <c r="I28" s="293"/>
      <c r="J28" s="109">
        <v>5458133</v>
      </c>
      <c r="K28" s="289"/>
      <c r="L28" s="289"/>
      <c r="M28" s="289"/>
      <c r="N28" s="289"/>
      <c r="O28" s="293"/>
      <c r="P28" s="109">
        <v>1597668.0000000002</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20037037</v>
      </c>
      <c r="AT28" s="113">
        <v>655914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7482</v>
      </c>
      <c r="K30" s="288"/>
      <c r="L30" s="288"/>
      <c r="M30" s="288"/>
      <c r="N30" s="288"/>
      <c r="O30" s="292"/>
      <c r="P30" s="109">
        <v>102</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59972</v>
      </c>
      <c r="AU30" s="113"/>
      <c r="AV30" s="311"/>
      <c r="AW30" s="318"/>
    </row>
    <row r="31" spans="2:49" s="5" customFormat="1" ht="25.5" x14ac:dyDescent="0.2">
      <c r="B31" s="178" t="s">
        <v>84</v>
      </c>
      <c r="C31" s="133"/>
      <c r="D31" s="293"/>
      <c r="E31" s="110"/>
      <c r="F31" s="110"/>
      <c r="G31" s="110"/>
      <c r="H31" s="110"/>
      <c r="I31" s="109"/>
      <c r="J31" s="293"/>
      <c r="K31" s="110">
        <v>6406.7999999999993</v>
      </c>
      <c r="L31" s="110"/>
      <c r="M31" s="110"/>
      <c r="N31" s="110"/>
      <c r="O31" s="109"/>
      <c r="P31" s="293"/>
      <c r="Q31" s="110">
        <v>-5763.79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v>6941</v>
      </c>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64360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5699388</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243207</v>
      </c>
      <c r="AU34" s="113"/>
      <c r="AV34" s="311"/>
      <c r="AW34" s="318"/>
    </row>
    <row r="35" spans="2:49" s="5" customFormat="1" x14ac:dyDescent="0.2">
      <c r="B35" s="178" t="s">
        <v>91</v>
      </c>
      <c r="C35" s="133"/>
      <c r="D35" s="293"/>
      <c r="E35" s="110">
        <v>5699388</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6368821</v>
      </c>
      <c r="E36" s="110">
        <v>6368821</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207780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1333921</v>
      </c>
      <c r="E38" s="288"/>
      <c r="F38" s="288"/>
      <c r="G38" s="288"/>
      <c r="H38" s="288"/>
      <c r="I38" s="292"/>
      <c r="J38" s="109">
        <v>1390663</v>
      </c>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231205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612989</v>
      </c>
      <c r="E41" s="288"/>
      <c r="F41" s="288"/>
      <c r="G41" s="288"/>
      <c r="H41" s="288"/>
      <c r="I41" s="292"/>
      <c r="J41" s="109">
        <v>1927121</v>
      </c>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-5658861</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1986209</v>
      </c>
      <c r="E43" s="289"/>
      <c r="F43" s="289"/>
      <c r="G43" s="289"/>
      <c r="H43" s="289"/>
      <c r="I43" s="293"/>
      <c r="J43" s="109">
        <v>1652260</v>
      </c>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-3825330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78140</v>
      </c>
      <c r="E49" s="110">
        <v>292486.35000000009</v>
      </c>
      <c r="F49" s="110"/>
      <c r="G49" s="110"/>
      <c r="H49" s="110"/>
      <c r="I49" s="109"/>
      <c r="J49" s="109">
        <v>430577</v>
      </c>
      <c r="K49" s="110">
        <v>336092.56568683102</v>
      </c>
      <c r="L49" s="110"/>
      <c r="M49" s="110"/>
      <c r="N49" s="110"/>
      <c r="O49" s="109"/>
      <c r="P49" s="109">
        <v>39180</v>
      </c>
      <c r="Q49" s="110">
        <v>86287.094313169189</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3819683</v>
      </c>
      <c r="AT49" s="113">
        <v>3</v>
      </c>
      <c r="AU49" s="113"/>
      <c r="AV49" s="311"/>
      <c r="AW49" s="318"/>
    </row>
    <row r="50" spans="2:49" x14ac:dyDescent="0.2">
      <c r="B50" s="176" t="s">
        <v>119</v>
      </c>
      <c r="C50" s="133" t="s">
        <v>34</v>
      </c>
      <c r="D50" s="109">
        <v>145149</v>
      </c>
      <c r="E50" s="289"/>
      <c r="F50" s="289"/>
      <c r="G50" s="289"/>
      <c r="H50" s="289"/>
      <c r="I50" s="293"/>
      <c r="J50" s="109">
        <v>19317</v>
      </c>
      <c r="K50" s="289"/>
      <c r="L50" s="289"/>
      <c r="M50" s="289"/>
      <c r="N50" s="289"/>
      <c r="O50" s="293"/>
      <c r="P50" s="109">
        <v>30220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2566169</v>
      </c>
      <c r="AT50" s="113">
        <v>875</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-91348</v>
      </c>
      <c r="L53" s="110"/>
      <c r="M53" s="110"/>
      <c r="N53" s="110"/>
      <c r="O53" s="109"/>
      <c r="P53" s="109"/>
      <c r="Q53" s="110">
        <v>48157</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26705190</v>
      </c>
      <c r="E54" s="115">
        <f>E24+E27+E31+E35-E36+E39+E42+E45+E46-E49+E51+E52+E53</f>
        <v>27091713.829499997</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23633541</v>
      </c>
      <c r="K54" s="115">
        <f>K24+K27+K31+K35-K36+K39+K42+K45+K46-K49+K51+K52+K53</f>
        <v>17565957.712416746</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16163010</v>
      </c>
      <c r="Q54" s="115">
        <f>Q24+Q27+Q31+Q35-Q36+Q39+Q42+Q45+Q46-Q49+Q51+Q52+Q53</f>
        <v>5407921.7108832551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184621410</v>
      </c>
      <c r="AT54" s="116">
        <f>AT23+AT26-AT28+AT30-AT32+AT34-AT36+AT38+AT41-AT43+AT45+AT46-AT47-AT49+AT50+AT51+AT52+AT53</f>
        <v>8144760</v>
      </c>
      <c r="AU54" s="116">
        <f>AU23+AU26-AU28+AU30-AU32+AU34-AU36+AU38+AU41-AU43+AU45+AU46-AU47-AU49+AU50+AU51+AU52+AU53</f>
        <v>0</v>
      </c>
      <c r="AV54" s="311"/>
      <c r="AW54" s="318"/>
    </row>
    <row r="55" spans="2:49" ht="25.5" x14ac:dyDescent="0.2">
      <c r="B55" s="181" t="s">
        <v>304</v>
      </c>
      <c r="C55" s="137" t="s">
        <v>28</v>
      </c>
      <c r="D55" s="114">
        <f t="shared" ref="D55:AC55" si="0">MIN(MAX(0,D56),MAX(0,D57))</f>
        <v>62799</v>
      </c>
      <c r="E55" s="115">
        <f t="shared" si="0"/>
        <v>62799</v>
      </c>
      <c r="F55" s="115">
        <f t="shared" si="0"/>
        <v>0</v>
      </c>
      <c r="G55" s="115">
        <f t="shared" si="0"/>
        <v>0</v>
      </c>
      <c r="H55" s="115">
        <f t="shared" si="0"/>
        <v>0</v>
      </c>
      <c r="I55" s="114">
        <f t="shared" si="0"/>
        <v>0</v>
      </c>
      <c r="J55" s="114">
        <f t="shared" si="0"/>
        <v>38618</v>
      </c>
      <c r="K55" s="115">
        <f t="shared" si="0"/>
        <v>38215.35</v>
      </c>
      <c r="L55" s="115">
        <f t="shared" si="0"/>
        <v>0</v>
      </c>
      <c r="M55" s="115">
        <f t="shared" si="0"/>
        <v>0</v>
      </c>
      <c r="N55" s="115">
        <f t="shared" si="0"/>
        <v>0</v>
      </c>
      <c r="O55" s="114">
        <f t="shared" si="0"/>
        <v>0</v>
      </c>
      <c r="P55" s="114">
        <f t="shared" si="0"/>
        <v>17749</v>
      </c>
      <c r="Q55" s="115">
        <f t="shared" si="0"/>
        <v>17564.599999999999</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62799</v>
      </c>
      <c r="E56" s="110">
        <v>62799</v>
      </c>
      <c r="F56" s="110"/>
      <c r="G56" s="110"/>
      <c r="H56" s="110"/>
      <c r="I56" s="109"/>
      <c r="J56" s="109">
        <v>38618</v>
      </c>
      <c r="K56" s="110">
        <v>38215.35</v>
      </c>
      <c r="L56" s="110"/>
      <c r="M56" s="110"/>
      <c r="N56" s="110"/>
      <c r="O56" s="109"/>
      <c r="P56" s="109">
        <v>17749</v>
      </c>
      <c r="Q56" s="110">
        <v>17564.599999999999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101600</v>
      </c>
      <c r="E57" s="110">
        <v>101600</v>
      </c>
      <c r="F57" s="110"/>
      <c r="G57" s="110"/>
      <c r="H57" s="110"/>
      <c r="I57" s="109"/>
      <c r="J57" s="109">
        <v>101777</v>
      </c>
      <c r="K57" s="110">
        <v>88943</v>
      </c>
      <c r="L57" s="110"/>
      <c r="M57" s="110"/>
      <c r="N57" s="110"/>
      <c r="O57" s="109"/>
      <c r="P57" s="109">
        <v>66039</v>
      </c>
      <c r="Q57" s="110">
        <v>53576.19</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5319303</v>
      </c>
      <c r="AT57" s="113">
        <v>9663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18412113.770000003</v>
      </c>
      <c r="D5" s="118">
        <v>21858173.7108</v>
      </c>
      <c r="E5" s="346"/>
      <c r="F5" s="346"/>
      <c r="G5" s="312"/>
      <c r="H5" s="117">
        <v>18527322.319999997</v>
      </c>
      <c r="I5" s="118">
        <v>18991293.116404612</v>
      </c>
      <c r="J5" s="346"/>
      <c r="K5" s="346"/>
      <c r="L5" s="312"/>
      <c r="M5" s="117">
        <v>6799301.6300000008</v>
      </c>
      <c r="N5" s="118">
        <v>9742969.8562953938</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18978042.310000006</v>
      </c>
      <c r="D6" s="110">
        <v>21800817.313299995</v>
      </c>
      <c r="E6" s="115">
        <f>SUM('Pt 1 Summary of Data'!E$12,'Pt 1 Summary of Data'!E$22)+SUM('Pt 1 Summary of Data'!G$12,'Pt 1 Summary of Data'!G$22)-SUM('Pt 1 Summary of Data'!H$12,'Pt 1 Summary of Data'!H$22)</f>
        <v>27154512.829499997</v>
      </c>
      <c r="F6" s="115">
        <f t="shared" ref="F6:F11" si="0">SUM(C6:E6)</f>
        <v>67933372.452800006</v>
      </c>
      <c r="G6" s="116">
        <f>SUM('Pt 1 Summary of Data'!I$12,'Pt 1 Summary of Data'!I$22)</f>
        <v>0</v>
      </c>
      <c r="H6" s="109">
        <v>18573072.547288105</v>
      </c>
      <c r="I6" s="110">
        <v>19016005.118810616</v>
      </c>
      <c r="J6" s="115">
        <f>SUM('Pt 1 Summary of Data'!K$12,'Pt 1 Summary of Data'!K$22)+SUM('Pt 1 Summary of Data'!M$12,'Pt 1 Summary of Data'!M$22)-SUM('Pt 1 Summary of Data'!N$12,'Pt 1 Summary of Data'!N$22)</f>
        <v>17604173.062416747</v>
      </c>
      <c r="K6" s="115">
        <f>SUM(H6:J6)</f>
        <v>55193250.728515469</v>
      </c>
      <c r="L6" s="116">
        <f>SUM('Pt 1 Summary of Data'!O$12,'Pt 1 Summary of Data'!O$22)</f>
        <v>0</v>
      </c>
      <c r="M6" s="109">
        <v>6799013.9327118956</v>
      </c>
      <c r="N6" s="110">
        <v>11952298.593089392</v>
      </c>
      <c r="O6" s="115">
        <f>SUM('Pt 1 Summary of Data'!Q$12,'Pt 1 Summary of Data'!Q$22)+SUM('Pt 1 Summary of Data'!S$12,'Pt 1 Summary of Data'!S$22)-SUM('Pt 1 Summary of Data'!T$12,'Pt 1 Summary of Data'!T$22)</f>
        <v>5425486.3108832547</v>
      </c>
      <c r="P6" s="115">
        <f>SUM(M6:O6)</f>
        <v>24176798.83668454</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739261.19</v>
      </c>
      <c r="D7" s="110">
        <v>764379.05</v>
      </c>
      <c r="E7" s="115">
        <f>SUM('Pt 1 Summary of Data'!E$37:E$41)+SUM('Pt 1 Summary of Data'!G$37:G$41)-SUM('Pt 1 Summary of Data'!H$37:H$41)+MAX(0,MIN('Pt 1 Summary of Data'!E$42+'Pt 1 Summary of Data'!G$42-'Pt 1 Summary of Data'!H$42,0.3%*('Pt 1 Summary of Data'!E$5+'Pt 1 Summary of Data'!G$5-'Pt 1 Summary of Data'!H$5-SUM(E$9:E$11))))</f>
        <v>588613.59999999986</v>
      </c>
      <c r="F7" s="115">
        <f t="shared" si="0"/>
        <v>2092253.8399999999</v>
      </c>
      <c r="G7" s="116">
        <f>SUM('Pt 1 Summary of Data'!I$37:I$41)+MAX(0,MIN('Pt 1 Summary of Data'!I$42,0.3%*('Pt 1 Summary of Data'!I$5-SUM(G$9:G$10))))</f>
        <v>0</v>
      </c>
      <c r="H7" s="109">
        <v>592341.74999999988</v>
      </c>
      <c r="I7" s="110">
        <v>541731.20999999985</v>
      </c>
      <c r="J7" s="115">
        <f>SUM('Pt 1 Summary of Data'!K$37:K$41)+SUM('Pt 1 Summary of Data'!M$37:M$41)-SUM('Pt 1 Summary of Data'!N$37:N$41)+MAX(0,MIN('Pt 1 Summary of Data'!K$42+'Pt 1 Summary of Data'!M$42-'Pt 1 Summary of Data'!N$42,0.3%*('Pt 1 Summary of Data'!K$5+'Pt 1 Summary of Data'!M$5-'Pt 1 Summary of Data'!N$5-SUM(J$10:J$11))))</f>
        <v>454126.31</v>
      </c>
      <c r="K7" s="115">
        <f>SUM(H7:J7)</f>
        <v>1588199.2699999998</v>
      </c>
      <c r="L7" s="116">
        <f>SUM('Pt 1 Summary of Data'!O$37:O$41)+MAX(0,MIN('Pt 1 Summary of Data'!O$42,0.3%*('Pt 1 Summary of Data'!O$5-L$10)))</f>
        <v>0</v>
      </c>
      <c r="M7" s="109">
        <v>188180.71</v>
      </c>
      <c r="N7" s="110">
        <v>173588.59000000003</v>
      </c>
      <c r="O7" s="115">
        <f>SUM('Pt 1 Summary of Data'!Q$37:Q$41)+SUM('Pt 1 Summary of Data'!S$37:S$41)-SUM('Pt 1 Summary of Data'!T$37:T$41)+MAX(0,MIN('Pt 1 Summary of Data'!Q$42+'Pt 1 Summary of Data'!S$42-'Pt 1 Summary of Data'!T$42,0.3%*('Pt 1 Summary of Data'!Q$5+'Pt 1 Summary of Data'!S$5-'Pt 1 Summary of Data'!T$5)))</f>
        <v>154318.00999999998</v>
      </c>
      <c r="P7" s="115">
        <f>SUM(M7:O7)</f>
        <v>516087.31000000006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1328793.1000000001</v>
      </c>
      <c r="F9" s="115">
        <f t="shared" si="0"/>
        <v>1328793.1000000001</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1164384.9099999999</v>
      </c>
      <c r="F10" s="115">
        <f t="shared" si="0"/>
        <v>1164384.9099999999</v>
      </c>
      <c r="G10" s="116">
        <f>'Pt 2 Premium and Claims'!I$16</f>
        <v>0</v>
      </c>
      <c r="H10" s="292"/>
      <c r="I10" s="288"/>
      <c r="J10" s="115">
        <f>'Pt 2 Premium and Claims'!K$16+'Pt 2 Premium and Claims'!M$16-'Pt 2 Premium and Claims'!N$16</f>
        <v>28372.969999999998</v>
      </c>
      <c r="K10" s="115">
        <f>SUM(H10:J10)</f>
        <v>28372.969999999998</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19717303.500000007</v>
      </c>
      <c r="D12" s="115">
        <f>SUM(D$6:D$7)+IF(AND(OR('Company Information'!$C$12="District of Columbia",'Company Information'!$C$12="Massachusetts",'Company Information'!$C$12="Vermont"),SUM($C$6:$F$11,$C$15:$F$16,$C$37:$D$37)&lt;&gt;0),SUM(I$6:I$7),0)</f>
        <v>22565196.363299996</v>
      </c>
      <c r="E12" s="115">
        <f>SUM(E$6:E$7)-SUM(E$8:E$11)+IF(AND(OR('Company Information'!$C$12="District of Columbia",'Company Information'!$C$12="Massachusetts",'Company Information'!$C$12="Vermont"),SUM($C$6:$F$11,$C$15:$F$16,$C$37:$D$37)&lt;&gt;0),SUM(J$6:J$7)-SUM(J$10:J$11),0)</f>
        <v>25249948.419500001</v>
      </c>
      <c r="F12" s="115">
        <f>IFERROR(SUM(C$12:E$12)+C$17*MAX(0,E$49-C$49)+D$17*MAX(0,E$49-D$49),0)</f>
        <v>67532448.282800004</v>
      </c>
      <c r="G12" s="311"/>
      <c r="H12" s="114">
        <f>SUM(H$6:H$7)+IF(AND(OR('Company Information'!$C$12="District of Columbia",'Company Information'!$C$12="Massachusetts",'Company Information'!$C$12="Vermont"),SUM($H$6:$K$11,$H$15:$K$16,$H$37:$I$37)&lt;&gt;0),SUM(C$6:C$7),0)</f>
        <v>19165414.297288105</v>
      </c>
      <c r="I12" s="115">
        <f>SUM(I$6:I$7)+IF(AND(OR('Company Information'!$C$12="District of Columbia",'Company Information'!$C$12="Massachusetts",'Company Information'!$C$12="Vermont"),SUM($H$6:$K$11,$H$15:$K$16,$H$37:$I$37)&lt;&gt;0),SUM(D$6:D$7),0)</f>
        <v>19557736.328810617</v>
      </c>
      <c r="J12" s="115">
        <f>SUM(J$6:J$7)-SUM(J$10:J$11)+IF(AND(OR('Company Information'!$C$12="District of Columbia",'Company Information'!$C$12="Massachusetts",'Company Information'!$C$12="Vermont"),SUM($H$6:$K$11,$H$15:$K$16,$H$37:$I$37)&lt;&gt;0),SUM(E$6:E$7)-SUM(E$8:E$11),0)</f>
        <v>18029926.402416747</v>
      </c>
      <c r="K12" s="115">
        <f>IFERROR(SUM(H$12:J$12)+H$17*MAX(0,J$49-H$49)+I$17*MAX(0,J$49-I$49),0)</f>
        <v>56753077.028515473</v>
      </c>
      <c r="L12" s="311"/>
      <c r="M12" s="114">
        <f>SUM(M$6:M$7)</f>
        <v>6987194.6427118955</v>
      </c>
      <c r="N12" s="115">
        <f>SUM(N$6:N$7)</f>
        <v>12125887.183089392</v>
      </c>
      <c r="O12" s="115">
        <f>SUM(O$6:O$7)</f>
        <v>5579804.3208832545</v>
      </c>
      <c r="P12" s="115">
        <f>SUM(M$12:O$12)+M$17*MAX(0,O$49-M$49)+N$17*MAX(0,O$49-N$49)</f>
        <v>24692886.146684542</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28564581.359999999</v>
      </c>
      <c r="D15" s="118">
        <v>31711739.541445646</v>
      </c>
      <c r="E15" s="106">
        <f>SUM('Pt 1 Summary of Data'!E$5:E$7)+SUM('Pt 1 Summary of Data'!G$5:G$7)-SUM('Pt 1 Summary of Data'!H$5:H$7)-SUM(E$9:E$11)+D$55</f>
        <v>32370889.508554548</v>
      </c>
      <c r="F15" s="106">
        <f>SUM(C15:E15)</f>
        <v>92647210.41000019</v>
      </c>
      <c r="G15" s="107">
        <f>SUM('Pt 1 Summary of Data'!I$5:I$7)-SUM(G$9:G$10)</f>
        <v>0</v>
      </c>
      <c r="H15" s="117">
        <v>29686960.18</v>
      </c>
      <c r="I15" s="118">
        <v>27692315.170908213</v>
      </c>
      <c r="J15" s="106">
        <f>SUM('Pt 1 Summary of Data'!K$5:K$7)+SUM('Pt 1 Summary of Data'!M$5:M$7)-SUM('Pt 1 Summary of Data'!N$5:N$7)-SUM(J$10:J$11)+I$55</f>
        <v>25857121.710029252</v>
      </c>
      <c r="K15" s="106">
        <f>SUM(H15:J15)</f>
        <v>83236397.060937464</v>
      </c>
      <c r="L15" s="107">
        <f>SUM('Pt 1 Summary of Data'!O$5:O$7)-L$10</f>
        <v>0</v>
      </c>
      <c r="M15" s="117">
        <v>7409019.0700000003</v>
      </c>
      <c r="N15" s="118">
        <v>7606894.1598242996</v>
      </c>
      <c r="O15" s="106">
        <f>SUM('Pt 1 Summary of Data'!Q$5:Q$7)+SUM('Pt 1 Summary of Data'!S$5:S$7)-SUM('Pt 1 Summary of Data'!T$5:T$7)+N$55</f>
        <v>6869227.1768848216</v>
      </c>
      <c r="P15" s="106">
        <f>SUM(M15:O15)</f>
        <v>21885140.406709123</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1388294</v>
      </c>
      <c r="D16" s="110">
        <v>1395381.239704811</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667797.74455518904</v>
      </c>
      <c r="F16" s="115">
        <f>SUM(C16:E16)</f>
        <v>3451472.9842600003</v>
      </c>
      <c r="G16" s="116">
        <f>SUM('Pt 1 Summary of Data'!I$25:I$28,'Pt 1 Summary of Data'!I$30,'Pt 1 Summary of Data'!I$34:I$35)+IF('Company Information'!$C$15="No",IF(MAX('Pt 1 Summary of Data'!I$31:I$32)=0,MIN('Pt 1 Summary of Data'!I$31:I$32),MAX('Pt 1 Summary of Data'!I$31:I$32)),SUM('Pt 1 Summary of Data'!I$31:I$32))</f>
        <v>0</v>
      </c>
      <c r="H16" s="109">
        <v>2308040.0500000003</v>
      </c>
      <c r="I16" s="110">
        <v>948778.46511508408</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2816526.3785784137</v>
      </c>
      <c r="K16" s="115">
        <f>SUM(H16:J16)</f>
        <v>6073344.8936934974</v>
      </c>
      <c r="L16" s="116">
        <f>SUM('Pt 1 Summary of Data'!O$25:O$28,'Pt 1 Summary of Data'!O$30,'Pt 1 Summary of Data'!O$34:O$35)+IF('Company Information'!$C$15="No",IF(MAX('Pt 1 Summary of Data'!O$31:O$32)=0,MIN('Pt 1 Summary of Data'!O$31:O$32),MAX('Pt 1 Summary of Data'!O$31:O$32)),SUM('Pt 1 Summary of Data'!O$31:O$32))</f>
        <v>0</v>
      </c>
      <c r="M16" s="109">
        <v>-597025.90999999992</v>
      </c>
      <c r="N16" s="110">
        <v>520617.61956294993</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143960.35118987443</v>
      </c>
      <c r="P16" s="115">
        <f>SUM(M16:O16)</f>
        <v>67552.060752824444</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27176287.359999999</v>
      </c>
      <c r="D17" s="115">
        <f>D$15-D$16+IF(AND(OR('Company Information'!$C$12="District of Columbia",'Company Information'!$C$12="Massachusetts",'Company Information'!$C$12="Vermont"),SUM($C$6:$F$11,$C$15:$F$16,$C$37:$D$37)&lt;&gt;0),I$15-I$16,0)</f>
        <v>30316358.301740836</v>
      </c>
      <c r="E17" s="115">
        <f>E$15-E$16+IF(AND(OR('Company Information'!$C$12="District of Columbia",'Company Information'!$C$12="Massachusetts",'Company Information'!$C$12="Vermont"),SUM($C$6:$F$11,$C$15:$F$16,$C$37:$D$37)&lt;&gt;0),J$15-J$16,0)</f>
        <v>31703091.763999358</v>
      </c>
      <c r="F17" s="115">
        <f>F$15-F$16+IF(AND(OR('Company Information'!$C$12="District of Columbia",'Company Information'!$C$12="Massachusetts",'Company Information'!$C$12="Vermont"),SUM($C$6:$F$11,$C$15:$F$16,$C$37:$D$37)&lt;&gt;0),K$15-K$16,0)</f>
        <v>89195737.425740182</v>
      </c>
      <c r="G17" s="314"/>
      <c r="H17" s="114">
        <f>H$15-H$16+IF(AND(OR('Company Information'!$C$12="District of Columbia",'Company Information'!$C$12="Massachusetts",'Company Information'!$C$12="Vermont"),SUM($H$6:$K$11,$H$15:$K$16,$H$37:$I$37)&lt;&gt;0),C$15-C$16,0)</f>
        <v>27378920.129999999</v>
      </c>
      <c r="I17" s="115">
        <f>I$15-I$16+IF(AND(OR('Company Information'!$C$12="District of Columbia",'Company Information'!$C$12="Massachusetts",'Company Information'!$C$12="Vermont"),SUM($H$6:$K$11,$H$15:$K$16,$H$37:$I$37)&lt;&gt;0),D$15-D$16,0)</f>
        <v>26743536.705793127</v>
      </c>
      <c r="J17" s="115">
        <f>J$15-J$16+IF(AND(OR('Company Information'!$C$12="District of Columbia",'Company Information'!$C$12="Massachusetts",'Company Information'!$C$12="Vermont"),SUM($H$6:$K$11,$H$15:$K$16,$H$37:$I$37)&lt;&gt;0),E$15-E$16,0)</f>
        <v>23040595.331450839</v>
      </c>
      <c r="K17" s="115">
        <f>K$15-K$16+IF(AND(OR('Company Information'!$C$12="District of Columbia",'Company Information'!$C$12="Massachusetts",'Company Information'!$C$12="Vermont"),SUM($H$6:$K$11,$H$15:$K$16,$H$37:$I$37)&lt;&gt;0),F$15-F$16,0)</f>
        <v>77163052.167243972</v>
      </c>
      <c r="L17" s="314"/>
      <c r="M17" s="114">
        <f>M$15-M$16</f>
        <v>8006044.9800000004</v>
      </c>
      <c r="N17" s="115">
        <f>N$15-N$16</f>
        <v>7086276.5402613496</v>
      </c>
      <c r="O17" s="115">
        <f>O$15-O$16</f>
        <v>6725266.8256949475</v>
      </c>
      <c r="P17" s="115">
        <f>P$15-P$16</f>
        <v>21817588.345956299</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14199.333333333334</v>
      </c>
      <c r="D37" s="122">
        <v>15959</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15009.166666666666</v>
      </c>
      <c r="F37" s="256">
        <f>SUM(C$37:E$37)+IF(AND(OR('Company Information'!$C$12="District of Columbia",'Company Information'!$C$12="Massachusetts",'Company Information'!$C$12="Vermont"),SUM($C$6:$F$11,$C$15:$F$16,$C$37:$D$37)&lt;&gt;0,SUM(C$37:D$37)&lt;&gt;SUM(H$37:I$37)),SUM(H$37:I$37),0)</f>
        <v>45167.5</v>
      </c>
      <c r="G37" s="312"/>
      <c r="H37" s="121">
        <v>6686.333333333333</v>
      </c>
      <c r="I37" s="122">
        <v>6128</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5850.916666666667</v>
      </c>
      <c r="K37" s="256">
        <f>SUM(H$37:J$37)+IF(AND(OR('Company Information'!$C$12="District of Columbia",'Company Information'!$C$12="Massachusetts",'Company Information'!$C$12="Vermont"),SUM($H$6:$K$11,$H$15:$K$16,$H$37:$I$37)&lt;&gt;0,SUM(H$37:I$37)&lt;&gt;SUM(C$37:D$37)),SUM(C$37:D$37),0)</f>
        <v>18665.25</v>
      </c>
      <c r="L37" s="312"/>
      <c r="M37" s="121">
        <v>1904.4166666666667</v>
      </c>
      <c r="N37" s="122">
        <v>1938</v>
      </c>
      <c r="O37" s="256">
        <f>('Pt 1 Summary of Data'!Q$59+'Pt 1 Summary of Data'!S$59-'Pt 1 Summary of Data'!T$59)/12</f>
        <v>1726.8333333333333</v>
      </c>
      <c r="P37" s="256">
        <f>SUM(M$37:O$37)</f>
        <v>5569.25</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3.5747649999999999E-2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4557.7808457160272</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1.3599007365121656</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0</v>
      </c>
      <c r="G41" s="311"/>
      <c r="H41" s="292"/>
      <c r="I41" s="288"/>
      <c r="J41" s="288"/>
      <c r="K41" s="260">
        <f ca="1">IF(OR(K$37&lt;1000,K$37&gt;=75000),0,K$38*K$40)</f>
        <v>0</v>
      </c>
      <c r="L41" s="311"/>
      <c r="M41" s="292"/>
      <c r="N41" s="288"/>
      <c r="O41" s="288"/>
      <c r="P41" s="260">
        <f ca="1">IF(OR(P$37&lt;1000,P$37&gt;=75000),0,P$38*P$40)</f>
        <v>3.5747649999999999E-2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0.72553337543160301</v>
      </c>
      <c r="D44" s="260">
        <f>IF(OR(D$37&lt;1000,D$17&lt;=0),"",D$12/D$17)</f>
        <v>0.74432410841391361</v>
      </c>
      <c r="E44" s="260">
        <f>IF(OR(E$37&lt;1000,E$17&lt;=0),"",E$12/E$17)</f>
        <v>0.79645066189325853</v>
      </c>
      <c r="F44" s="260">
        <f>IF(OR(F$37&lt;1000,F$17&lt;=0),"",F$12/F$17)</f>
        <v>0.75712640796343067</v>
      </c>
      <c r="G44" s="311"/>
      <c r="H44" s="262">
        <f>IF(OR(H$37&lt;1000,H$17&lt;=0),"",H$12/H$17)</f>
        <v>0.70000621669106367</v>
      </c>
      <c r="I44" s="260">
        <f>IF(OR(I$37&lt;1000,I$17&lt;=0),"",I$12/I$17)</f>
        <v>0.73130702733771413</v>
      </c>
      <c r="J44" s="260">
        <f>IF(OR(J$37&lt;1000,J$17&lt;=0),"",J$12/J$17)</f>
        <v>0.78252866920524244</v>
      </c>
      <c r="K44" s="260">
        <f>IF(OR(K$37&lt;1000,K$17&lt;=0),"",K$12/K$17)</f>
        <v>0.73549549213668075</v>
      </c>
      <c r="L44" s="311"/>
      <c r="M44" s="262">
        <f>IF(OR(M$37&lt;1000,M$17&lt;=0),"",M$12/M$17)</f>
        <v>0.87273986845773321</v>
      </c>
      <c r="N44" s="260">
        <f>IF(OR(N$37&lt;1000,N$17&lt;=0),"",N$12/N$17)</f>
        <v>1.7111789406178293</v>
      </c>
      <c r="O44" s="260">
        <f>IF(OR(O$37&lt;1000,O$17&lt;=0),"",O$12/O$17)</f>
        <v>0.8296777608235153</v>
      </c>
      <c r="P44" s="260">
        <f>IF(OR(P$37&lt;1000,P$17&lt;=0),"",P$12/P$17)</f>
        <v>1.1317880672756004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0</v>
      </c>
      <c r="G46" s="311"/>
      <c r="H46" s="292"/>
      <c r="I46" s="288"/>
      <c r="J46" s="288"/>
      <c r="K46" s="260">
        <f ca="1">IF(K$44="","",K$41)</f>
        <v>0</v>
      </c>
      <c r="L46" s="311"/>
      <c r="M46" s="292"/>
      <c r="N46" s="288"/>
      <c r="O46" s="288"/>
      <c r="P46" s="260">
        <f ca="1">IF(P$44="","",P$41)</f>
        <v>3.5747649999999999E-2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0.75700000000000001</v>
      </c>
      <c r="G47" s="311"/>
      <c r="H47" s="292"/>
      <c r="I47" s="288"/>
      <c r="J47" s="288"/>
      <c r="K47" s="260">
        <f ca="1">IF(K$44="","",ROUND(K$44+MAX(0,K$46),3))</f>
        <v>0.73499999999999999</v>
      </c>
      <c r="L47" s="311"/>
      <c r="M47" s="292"/>
      <c r="N47" s="288"/>
      <c r="O47" s="288"/>
      <c r="P47" s="260">
        <f ca="1">IF(P$44="","",ROUND(P$44+MAX(0,P$46),3))</f>
        <v>1.1679999999999999</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2015</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0.75700000000000001</v>
      </c>
      <c r="G50" s="311"/>
      <c r="H50" s="293"/>
      <c r="I50" s="289"/>
      <c r="J50" s="289"/>
      <c r="K50" s="260">
        <f ca="1">K$47</f>
        <v>0.73499999999999999</v>
      </c>
      <c r="L50" s="311"/>
      <c r="M50" s="293"/>
      <c r="N50" s="289"/>
      <c r="O50" s="289"/>
      <c r="P50" s="260">
        <f ca="1">P$47</f>
        <v>1.1679999999999999</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31703091.763999358</v>
      </c>
      <c r="G51" s="311"/>
      <c r="H51" s="292"/>
      <c r="I51" s="288"/>
      <c r="J51" s="288"/>
      <c r="K51" s="115">
        <f>IF(K$37&lt;1000,"",MAX(0,J$15-J$16))</f>
        <v>23040595.331450839</v>
      </c>
      <c r="L51" s="311"/>
      <c r="M51" s="292"/>
      <c r="N51" s="288"/>
      <c r="O51" s="288"/>
      <c r="P51" s="115">
        <f>IF(P$37&lt;1000,"",MAX(0,O$15-O$16))</f>
        <v>6725266.8256949475</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1363232.9458519735</v>
      </c>
      <c r="G52" s="311"/>
      <c r="H52" s="292"/>
      <c r="I52" s="288"/>
      <c r="J52" s="288"/>
      <c r="K52" s="115">
        <f ca="1">IF(OR(K$37&lt;1000,K$17&lt;=0),0,MAX(0,K$49-K$50)*K$51)</f>
        <v>1497638.6965443059</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483717.02855434926</v>
      </c>
      <c r="E55" s="288"/>
      <c r="F55" s="288"/>
      <c r="G55" s="311"/>
      <c r="H55" s="292"/>
      <c r="I55" s="110">
        <v>174495.15355899994</v>
      </c>
      <c r="J55" s="288"/>
      <c r="K55" s="288"/>
      <c r="L55" s="311"/>
      <c r="M55" s="292"/>
      <c r="N55" s="110">
        <v>23751.156561228858</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21283.760295188946</v>
      </c>
      <c r="E56" s="288"/>
      <c r="F56" s="288"/>
      <c r="G56" s="311"/>
      <c r="H56" s="292"/>
      <c r="I56" s="110">
        <v>5978.2938553228678</v>
      </c>
      <c r="J56" s="288"/>
      <c r="K56" s="288"/>
      <c r="L56" s="311"/>
      <c r="M56" s="292"/>
      <c r="N56" s="110">
        <v>1625.4869213945196</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4" sqref="D1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7254</v>
      </c>
      <c r="D4" s="149">
        <f>'Pt 1 Summary of Data'!$K$56+'Pt 1 Summary of Data'!$M$56-'Pt 1 Summary of Data'!$N$56</f>
        <v>3449</v>
      </c>
      <c r="E4" s="149">
        <f>'Pt 1 Summary of Data'!$Q$56+'Pt 1 Summary of Data'!$S$56-'Pt 1 Summary of Data'!$T$56</f>
        <v>1054</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600</v>
      </c>
      <c r="E6" s="123"/>
      <c r="F6" s="363"/>
      <c r="G6" s="123"/>
      <c r="H6" s="123"/>
      <c r="I6" s="363"/>
      <c r="J6" s="363"/>
      <c r="K6" s="372"/>
    </row>
    <row r="7" spans="2:11" x14ac:dyDescent="0.2">
      <c r="B7" s="155" t="s">
        <v>102</v>
      </c>
      <c r="C7" s="124">
        <v>10070</v>
      </c>
      <c r="D7" s="126">
        <v>69</v>
      </c>
      <c r="E7" s="126"/>
      <c r="F7" s="126"/>
      <c r="G7" s="126"/>
      <c r="H7" s="126"/>
      <c r="I7" s="374"/>
      <c r="J7" s="374"/>
      <c r="K7" s="209"/>
    </row>
    <row r="8" spans="2:11" x14ac:dyDescent="0.2">
      <c r="B8" s="155" t="s">
        <v>103</v>
      </c>
      <c r="C8" s="361"/>
      <c r="D8" s="126">
        <v>7</v>
      </c>
      <c r="E8" s="126"/>
      <c r="F8" s="364"/>
      <c r="G8" s="126"/>
      <c r="H8" s="126"/>
      <c r="I8" s="374"/>
      <c r="J8" s="374"/>
      <c r="K8" s="373"/>
    </row>
    <row r="9" spans="2:11" ht="13.15" customHeight="1" x14ac:dyDescent="0.2">
      <c r="B9" s="155" t="s">
        <v>104</v>
      </c>
      <c r="C9" s="124">
        <v>128</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1363232.9458519735</v>
      </c>
      <c r="D11" s="119">
        <f ca="1">'Pt 3 MLR and Rebate Calculation'!$K$52</f>
        <v>1497638.6965443059</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v>-328.68</v>
      </c>
      <c r="D12" s="113">
        <v>-13.76</v>
      </c>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1363232.95</v>
      </c>
      <c r="D14" s="113">
        <v>1497638.6965443059</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1333919.765276598</v>
      </c>
      <c r="D16" s="119">
        <v>1390663.9087012438</v>
      </c>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v>1</v>
      </c>
      <c r="E18" s="139"/>
      <c r="F18" s="139"/>
      <c r="G18" s="139"/>
      <c r="H18" s="139"/>
      <c r="I18" s="353"/>
      <c r="J18" s="353"/>
      <c r="K18" s="367"/>
    </row>
    <row r="19" spans="2:12" ht="25.5" x14ac:dyDescent="0.2">
      <c r="B19" s="155" t="s">
        <v>208</v>
      </c>
      <c r="C19" s="351"/>
      <c r="D19" s="139">
        <v>1</v>
      </c>
      <c r="E19" s="139"/>
      <c r="F19" s="370"/>
      <c r="G19" s="139"/>
      <c r="H19" s="139"/>
      <c r="I19" s="353"/>
      <c r="J19" s="353"/>
      <c r="K19" s="371"/>
    </row>
    <row r="20" spans="2:12" ht="25.5" x14ac:dyDescent="0.2">
      <c r="B20" s="155" t="s">
        <v>209</v>
      </c>
      <c r="C20" s="369">
        <v>1</v>
      </c>
      <c r="D20" s="139">
        <v>1</v>
      </c>
      <c r="E20" s="139"/>
      <c r="F20" s="139"/>
      <c r="G20" s="139"/>
      <c r="H20" s="139"/>
      <c r="I20" s="353"/>
      <c r="J20" s="353"/>
      <c r="K20" s="367"/>
    </row>
    <row r="21" spans="2:12" ht="25.5" x14ac:dyDescent="0.2">
      <c r="B21" s="155" t="s">
        <v>210</v>
      </c>
      <c r="C21" s="351"/>
      <c r="D21" s="139">
        <v>1</v>
      </c>
      <c r="E21" s="139"/>
      <c r="F21" s="370"/>
      <c r="G21" s="139"/>
      <c r="H21" s="139"/>
      <c r="I21" s="353"/>
      <c r="J21" s="353"/>
      <c r="K21" s="371"/>
    </row>
    <row r="22" spans="2:12" s="5" customFormat="1" x14ac:dyDescent="0.2">
      <c r="B22" s="211" t="s">
        <v>211</v>
      </c>
      <c r="C22" s="186">
        <v>163053.12000000002</v>
      </c>
      <c r="D22" s="212">
        <v>56881.170000000013</v>
      </c>
      <c r="E22" s="212"/>
      <c r="F22" s="212"/>
      <c r="G22" s="212"/>
      <c r="H22" s="212"/>
      <c r="I22" s="359"/>
      <c r="J22" s="359"/>
      <c r="K22" s="368"/>
    </row>
    <row r="23" spans="2:12" s="5" customFormat="1" ht="100.15" customHeight="1" x14ac:dyDescent="0.2">
      <c r="B23" s="102" t="s">
        <v>212</v>
      </c>
      <c r="C23" s="381" t="s">
        <v>507</v>
      </c>
      <c r="D23" s="382"/>
      <c r="E23" s="382"/>
      <c r="F23" s="382"/>
      <c r="G23" s="382"/>
      <c r="H23" s="382"/>
      <c r="I23" s="382"/>
      <c r="J23" s="382"/>
      <c r="K23" s="383"/>
    </row>
    <row r="24" spans="2:12" s="5" customFormat="1" ht="100.15" customHeight="1" x14ac:dyDescent="0.2">
      <c r="B24" s="101" t="s">
        <v>213</v>
      </c>
      <c r="C24" s="384" t="s">
        <v>508</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2015-09-10T23:34:28Z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