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H4" i="16"/>
  <c r="G4" i="16"/>
  <c r="F4" i="16"/>
  <c r="E4" i="16"/>
  <c r="D4" i="16"/>
  <c r="C4" i="16"/>
  <c r="AB52" i="10"/>
  <c r="X52" i="10"/>
  <c r="G11" i="16" s="1"/>
  <c r="T52" i="10"/>
  <c r="F11" i="16" s="1"/>
  <c r="P52" i="10"/>
  <c r="K52" i="10"/>
  <c r="AB51" i="10"/>
  <c r="X51" i="10"/>
  <c r="T51" i="10"/>
  <c r="P51" i="10"/>
  <c r="K51" i="10"/>
  <c r="F51" i="10"/>
  <c r="AB50" i="10"/>
  <c r="P50" i="10"/>
  <c r="K50" i="10"/>
  <c r="AB47" i="10"/>
  <c r="P47" i="10"/>
  <c r="K47" i="10"/>
  <c r="AB46" i="10"/>
  <c r="P46" i="10"/>
  <c r="K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AB40" i="10"/>
  <c r="X40" i="10"/>
  <c r="T40" i="10"/>
  <c r="P40" i="10"/>
  <c r="K40" i="10"/>
  <c r="F40" i="10"/>
  <c r="AB38" i="10"/>
  <c r="X38" i="10"/>
  <c r="T38" i="10"/>
  <c r="K38" i="10"/>
  <c r="F38" i="10"/>
  <c r="AB37" i="10"/>
  <c r="AA37" i="10"/>
  <c r="X37" i="10"/>
  <c r="W37" i="10"/>
  <c r="T37" i="10"/>
  <c r="S37" i="10"/>
  <c r="P37" i="10"/>
  <c r="O37" i="10"/>
  <c r="K37" i="10"/>
  <c r="J37" i="10"/>
  <c r="F37" i="10"/>
  <c r="E37" i="10"/>
  <c r="L29" i="10"/>
  <c r="L28" i="10"/>
  <c r="L25" i="10"/>
  <c r="L24" i="10"/>
  <c r="L21" i="10"/>
  <c r="L20" i="10"/>
  <c r="L19" i="10"/>
  <c r="AB17" i="10"/>
  <c r="AA17" i="10"/>
  <c r="Z17" i="10"/>
  <c r="Y17" i="10"/>
  <c r="X17" i="10"/>
  <c r="W17" i="10"/>
  <c r="V17" i="10"/>
  <c r="U17" i="10"/>
  <c r="X13" i="10" s="1"/>
  <c r="T17" i="10"/>
  <c r="S17" i="10"/>
  <c r="R17" i="10"/>
  <c r="Q17" i="10"/>
  <c r="P17" i="10"/>
  <c r="O17" i="10"/>
  <c r="N17" i="10"/>
  <c r="M17" i="10"/>
  <c r="K17" i="10"/>
  <c r="J17" i="10"/>
  <c r="I17" i="10"/>
  <c r="H17" i="10"/>
  <c r="F17" i="10"/>
  <c r="E17" i="10"/>
  <c r="D17" i="10"/>
  <c r="C17" i="10"/>
  <c r="AB16" i="10"/>
  <c r="AA16" i="10"/>
  <c r="X16" i="10"/>
  <c r="W16" i="10"/>
  <c r="W13" i="10" s="1"/>
  <c r="T16" i="10"/>
  <c r="S16" i="10"/>
  <c r="P16" i="10"/>
  <c r="O16" i="10"/>
  <c r="L16" i="10"/>
  <c r="K16" i="10"/>
  <c r="J12" i="10" s="1"/>
  <c r="J16" i="10"/>
  <c r="G16" i="10"/>
  <c r="F16" i="10"/>
  <c r="E16" i="10"/>
  <c r="D12" i="10" s="1"/>
  <c r="AB15" i="10"/>
  <c r="AA15" i="10"/>
  <c r="X15" i="10"/>
  <c r="W15" i="10"/>
  <c r="T15" i="10"/>
  <c r="S15" i="10"/>
  <c r="P15" i="10"/>
  <c r="O15" i="10"/>
  <c r="L15" i="10"/>
  <c r="K15" i="10"/>
  <c r="J15" i="10"/>
  <c r="G15" i="10"/>
  <c r="F15" i="10"/>
  <c r="E15" i="10"/>
  <c r="C12" i="10" s="1"/>
  <c r="AB13" i="10"/>
  <c r="AA13" i="10"/>
  <c r="Z13" i="10"/>
  <c r="Y13" i="10"/>
  <c r="S13" i="10"/>
  <c r="Q13" i="10"/>
  <c r="P12" i="10"/>
  <c r="O12" i="10"/>
  <c r="N12" i="10"/>
  <c r="M12" i="10"/>
  <c r="I12" i="10"/>
  <c r="H12" i="10"/>
  <c r="E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AB6" i="10"/>
  <c r="AA6" i="10"/>
  <c r="X6" i="10"/>
  <c r="W6" i="10"/>
  <c r="T6" i="10"/>
  <c r="S6" i="10"/>
  <c r="P6" i="10"/>
  <c r="O6" i="10"/>
  <c r="L6" i="10"/>
  <c r="K6" i="10"/>
  <c r="J6" i="10"/>
  <c r="G6" i="10"/>
  <c r="F6" i="10"/>
  <c r="E6" i="10"/>
  <c r="AU55" i="18"/>
  <c r="AT55" i="18"/>
  <c r="AS55" i="18"/>
  <c r="AC55" i="18"/>
  <c r="AB55" i="18"/>
  <c r="AA55" i="18"/>
  <c r="AA22" i="4" s="1"/>
  <c r="Z55" i="18"/>
  <c r="Y55" i="18"/>
  <c r="Y22" i="4" s="1"/>
  <c r="X55" i="18"/>
  <c r="W55" i="18"/>
  <c r="W22" i="4" s="1"/>
  <c r="V55" i="18"/>
  <c r="U55" i="18"/>
  <c r="U22" i="4" s="1"/>
  <c r="T55" i="18"/>
  <c r="T22" i="4" s="1"/>
  <c r="S55" i="18"/>
  <c r="S22" i="4" s="1"/>
  <c r="R55" i="18"/>
  <c r="Q55" i="18"/>
  <c r="P55" i="18"/>
  <c r="P22" i="4" s="1"/>
  <c r="O55" i="18"/>
  <c r="N55" i="18"/>
  <c r="M55" i="18"/>
  <c r="L55" i="18"/>
  <c r="K55" i="18"/>
  <c r="K22" i="4" s="1"/>
  <c r="J55" i="18"/>
  <c r="I55" i="18"/>
  <c r="H55" i="18"/>
  <c r="H22" i="4" s="1"/>
  <c r="G55" i="18"/>
  <c r="F55" i="18"/>
  <c r="E55" i="18"/>
  <c r="D55" i="18"/>
  <c r="D22" i="4" s="1"/>
  <c r="AU54" i="18"/>
  <c r="AT54" i="18"/>
  <c r="AT12" i="4" s="1"/>
  <c r="AS54" i="18"/>
  <c r="AS12" i="4" s="1"/>
  <c r="AC54" i="18"/>
  <c r="AB54" i="18"/>
  <c r="AB12" i="4" s="1"/>
  <c r="AA54" i="18"/>
  <c r="Z54" i="18"/>
  <c r="Y54" i="18"/>
  <c r="X54" i="18"/>
  <c r="X12" i="4" s="1"/>
  <c r="W54" i="18"/>
  <c r="V54" i="18"/>
  <c r="V12" i="4" s="1"/>
  <c r="U54" i="18"/>
  <c r="U12" i="4" s="1"/>
  <c r="T54" i="18"/>
  <c r="S54" i="18"/>
  <c r="R54" i="18"/>
  <c r="Q54" i="18"/>
  <c r="Q12" i="4" s="1"/>
  <c r="P54" i="18"/>
  <c r="O54" i="18"/>
  <c r="N54" i="18"/>
  <c r="M54" i="18"/>
  <c r="L54" i="18"/>
  <c r="K54" i="18"/>
  <c r="J54" i="18"/>
  <c r="I54" i="18"/>
  <c r="I12" i="4" s="1"/>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Z22" i="4"/>
  <c r="X22" i="4"/>
  <c r="V22" i="4"/>
  <c r="R22" i="4"/>
  <c r="Q22" i="4"/>
  <c r="O22" i="4"/>
  <c r="N22" i="4"/>
  <c r="M22" i="4"/>
  <c r="L22" i="4"/>
  <c r="J22" i="4"/>
  <c r="I22" i="4"/>
  <c r="G22" i="4"/>
  <c r="F22" i="4"/>
  <c r="E22" i="4"/>
  <c r="AU12" i="4"/>
  <c r="AC12" i="4"/>
  <c r="AA12" i="4"/>
  <c r="Z12" i="4"/>
  <c r="Y12" i="4"/>
  <c r="W12" i="4"/>
  <c r="T12" i="4"/>
  <c r="S12" i="4"/>
  <c r="R12" i="4"/>
  <c r="P12" i="4"/>
  <c r="O12" i="4"/>
  <c r="N12" i="4"/>
  <c r="M12" i="4"/>
  <c r="L12" i="4"/>
  <c r="K12" i="4"/>
  <c r="J12" i="4"/>
  <c r="H12" i="4"/>
  <c r="AU5" i="4"/>
  <c r="AT5" i="4"/>
  <c r="AS5" i="4"/>
  <c r="AC5" i="4"/>
  <c r="AB5" i="4"/>
  <c r="AA5" i="4"/>
  <c r="Z5" i="4"/>
  <c r="Y5" i="4"/>
  <c r="X5" i="4"/>
  <c r="W5" i="4"/>
  <c r="V5" i="4"/>
  <c r="U5" i="4"/>
  <c r="T5" i="4"/>
  <c r="S5" i="4"/>
  <c r="R5" i="4"/>
  <c r="Q5" i="4"/>
  <c r="P5" i="4"/>
  <c r="O5" i="4"/>
  <c r="N5" i="4"/>
  <c r="M5" i="4"/>
  <c r="L5" i="4"/>
  <c r="K5" i="4"/>
  <c r="J5" i="4"/>
  <c r="I5" i="4"/>
  <c r="H5" i="4"/>
  <c r="G5" i="4"/>
  <c r="F5" i="4"/>
  <c r="E5" i="4"/>
  <c r="D5" i="4"/>
  <c r="G20" i="10" l="1"/>
  <c r="G29" i="10"/>
  <c r="G19" i="10"/>
  <c r="G24" i="10" s="1"/>
  <c r="G21" i="10"/>
  <c r="G25" i="10"/>
  <c r="L23" i="10"/>
  <c r="L27" i="10" s="1"/>
  <c r="G28" i="10"/>
  <c r="X46" i="10"/>
  <c r="T46" i="10"/>
  <c r="P38" i="10"/>
  <c r="F41" i="10"/>
  <c r="F46" i="10" s="1"/>
  <c r="F47" i="10" s="1"/>
  <c r="F50" i="10" s="1"/>
  <c r="F52" i="10" s="1"/>
  <c r="C11" i="16" s="1"/>
  <c r="T13" i="10"/>
  <c r="U13" i="10"/>
  <c r="V13" i="10"/>
  <c r="R13" i="10"/>
  <c r="K12" i="10"/>
  <c r="F12" i="10"/>
  <c r="L31" i="10" l="1"/>
  <c r="L32" i="10" s="1"/>
  <c r="L33" i="10" s="1"/>
  <c r="L26" i="10"/>
  <c r="L30" i="10" s="1"/>
  <c r="G23" i="10"/>
  <c r="G27" i="10" s="1"/>
  <c r="G31" i="10" l="1"/>
  <c r="G32" i="10" s="1"/>
  <c r="G33" i="10" s="1"/>
  <c r="G26" i="10"/>
  <c r="G30" i="10" s="1"/>
</calcChain>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<sst xmlns="http://schemas.openxmlformats.org/spreadsheetml/2006/main" count="569" uniqueCount="507">
  <si>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</si>
  <si>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</si>
  <si>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</si>
  <si>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</si>
  <si>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</si>
  <si>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</si>
  <si>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</si>
  <si>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</si>
  <si>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</si>
  <si>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</si>
  <si>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</si>
  <si>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</si>
  <si>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</si>
  <si>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</si>
  <si>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</si>
  <si>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</si>
  <si>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</si>
  <si>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</si>
  <si>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</si>
  <si>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</si>
  <si>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</si>
  <si>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</si>
  <si>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</si>
  <si>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</si>
  <si>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</si>
  <si>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</si>
  <si>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</si>
  <si>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</si>
  <si>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</si>
  <si>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</si>
  <si>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</si>
  <si>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</si>
  <si>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</si>
  <si>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</si>
  <si>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</si>
  <si>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</si>
  <si>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</si>
  <si>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</si>
  <si>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</si>
  <si>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</si>
  <si>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</si>
  <si>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</si>
  <si>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</si>
  <si>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</si>
  <si>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</si>
  <si>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</si>
  <si>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</si>
  <si>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</si>
  <si>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</si>
  <si>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</si>
  <si>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</si>
  <si>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</si>
  <si>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</si>
  <si>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</si>
  <si>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</si>
  <si>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</si>
  <si>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</si>
  <si>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</si>
  <si>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</si>
  <si>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</si>
  <si>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</si>
  <si>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</si>
  <si>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</si>
  <si>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</si>
  <si>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</si>
  <si>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</si>
  <si>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</si>
  <si>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</si>
  <si>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</si>
  <si>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</si>
  <si>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</si>
  <si>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</si>
  <si>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</si>
  <si>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</si>
  <si>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</si>
  <si>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</si>
  <si>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</si>
  <si>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</si>
  <si>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</si>
  <si>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</si>
  <si>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</si>
  <si>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</si>
  <si>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</si>
  <si>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</si>
  <si>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</si>
  <si>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</si>
  <si>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</si>
  <si>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</si>
  <si>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</si>
  <si>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</si>
  <si>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</si>
  <si>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</si>
  <si>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</si>
  <si>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</si>
  <si>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</si>
  <si>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</si>
  <si>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</si>
  <si>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</si>
  <si>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</si>
  <si>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</si>
  <si>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</si>
  <si>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</si>
  <si>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</si>
  <si>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</si>
  <si>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</si>
  <si>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</si>
  <si>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</si>
  <si>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</si>
  <si>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</si>
  <si>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</si>
  <si>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</si>
  <si>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</si>
  <si>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</si>
  <si>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</si>
  <si>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</si>
  <si>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</si>
  <si>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</si>
  <si>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</si>
  <si>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</si>
  <si>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</si>
  <si>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</si>
  <si>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</si>
  <si>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</si>
  <si>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</si>
  <si>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</si>
  <si>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</si>
  <si>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</si>
  <si>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</si>
  <si>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</si>
  <si>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</si>
  <si>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</si>
  <si>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</si>
  <si>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</si>
  <si>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</si>
  <si>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</si>
  <si>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</si>
  <si>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</si>
  <si>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</si>
  <si>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</si>
  <si>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</si>
  <si>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</si>
  <si>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</si>
  <si>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</si>
  <si>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</si>
  <si>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</si>
  <si>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</si>
  <si>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</si>
  <si>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</si>
  <si>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</si>
  <si>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</si>
  <si>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</si>
  <si>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</si>
  <si>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</si>
  <si>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</si>
  <si>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</si>
  <si>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</si>
  <si>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</si>
  <si>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</si>
  <si>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</si>
  <si>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</si>
  <si>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</si>
  <si>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</si>
  <si>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</si>
  <si>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</si>
  <si>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</si>
  <si>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</si>
  <si>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</si>
  <si>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</si>
  <si>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</si>
  <si>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</si>
  <si>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</si>
  <si>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</si>
  <si>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</si>
  <si>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</si>
  <si>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</si>
  <si>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</si>
  <si>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</si>
  <si>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</si>
  <si>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</si>
  <si>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</si>
  <si>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</si>
  <si>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</si>
  <si>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</si>
  <si>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</si>
  <si>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</si>
  <si>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</si>
  <si>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</si>
  <si>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</si>
  <si>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</si>
  <si>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</si>
  <si>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</si>
  <si>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</si>
  <si>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</si>
  <si>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</si>
  <si>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</si>
  <si>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</si>
  <si>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</si>
  <si>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</si>
  <si>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</si>
  <si>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</si>
  <si>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</si>
  <si>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</si>
  <si>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</si>
  <si>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</si>
  <si>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</si>
  <si>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</si>
  <si>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</si>
  <si>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</si>
  <si>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</si>
  <si>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</si>
  <si>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</si>
  <si>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</si>
  <si>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</si>
  <si>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</si>
  <si>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</si>
  <si>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</si>
  <si>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</si>
  <si>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</si>
  <si>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</si>
  <si>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</si>
  <si>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</si>
  <si>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</si>
  <si>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</si>
  <si>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</si>
  <si>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</si>
  <si>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</si>
  <si>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</si>
  <si>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</si>
  <si>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</si>
  <si>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</si>
  <si>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</si>
  <si>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</si>
  <si>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</si>
  <si>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</si>
  <si>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</si>
  <si>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</si>
  <si>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</si>
  <si>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</si>
  <si>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</si>
  <si>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</si>
  <si>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</si>
  <si>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</si>
  <si>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</si>
  <si>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</si>
  <si>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</si>
  <si>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</si>
  <si>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</si>
  <si>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</si>
  <si>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</si>
  <si>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</si>
  <si>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</si>
  <si>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</si>
  <si>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</si>
  <si>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</si>
  <si>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</si>
  <si>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</si>
  <si>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</si>
  <si>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</si>
  <si>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</si>
  <si>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</si>
  <si>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</si>
  <si>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</si>
  <si>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</si>
  <si>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</si>
  <si>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</si>
  <si>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</si>
  <si>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</si>
  <si>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</si>
  <si>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</si>
  <si>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</si>
  <si>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</si>
  <si>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</si>
  <si>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</si>
  <si>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</si>
  <si>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</si>
  <si>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</si>
  <si>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</si>
  <si>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</si>
  <si>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</si>
  <si>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</si>
  <si>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</si>
  <si>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</si>
  <si>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</si>
  <si>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</si>
  <si>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</si>
  <si>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</si>
  <si>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</si>
  <si>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</si>
  <si>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</si>
  <si>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</si>
  <si>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</si>
  <si>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</si>
  <si>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</si>
  <si>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</si>
  <si>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</si>
  <si>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</si>
  <si>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</si>
  <si>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</si>
  <si>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</si>
  <si>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</si>
  <si>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</si>
  <si>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</si>
  <si>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</si>
  <si>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</si>
  <si>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</si>
  <si>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</si>
  <si>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</si>
  <si>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</si>
  <si>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</si>
  <si>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</si>
  <si>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</si>
  <si>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</si>
  <si>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</si>
  <si>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</si>
  <si>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</si>
  <si>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</si>
  <si>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</si>
  <si>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</si>
  <si>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</si>
  <si>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</si>
  <si>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</si>
  <si>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</si>
  <si>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</si>
  <si>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</si>
  <si>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</si>
  <si>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</si>
  <si>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</si>
  <si>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</si>
  <si>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</si>
  <si>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</si>
  <si>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</si>
  <si>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</si>
  <si>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</si>
  <si>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</si>
  <si>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</si>
  <si>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</si>
  <si>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</si>
  <si>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</si>
  <si>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</si>
  <si>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</si>
  <si>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</si>
  <si>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</si>
  <si>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</si>
  <si>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</si>
  <si>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</si>
  <si>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</si>
  <si>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</si>
  <si>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</si>
  <si>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</si>
  <si>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</si>
  <si>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</si>
  <si>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</si>
  <si>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</si>
  <si>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</si>
  <si>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</si>
  <si>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</si>
  <si>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</si>
  <si>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</si>
  <si>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</si>
  <si>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</si>
  <si>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</si>
  <si>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</si>
  <si>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</si>
  <si>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</si>
  <si>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</si>
  <si>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</si>
  <si>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</si>
  <si>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</si>
  <si>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</si>
  <si>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</si>
  <si>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</si>
  <si>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</si>
  <si>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</si>
  <si>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</si>
  <si>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</si>
  <si>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</si>
  <si>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</si>
  <si>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</si>
  <si>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</si>
  <si>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</si>
  <si>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</si>
  <si>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</si>
  <si>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</si>
  <si>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</si>
  <si>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</si>
  <si>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</si>
  <si>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</si>
  <si>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</si>
  <si>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</si>
  <si>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</si>
  <si>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</si>
  <si>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</si>
  <si>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</si>
  <si>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</si>
  <si>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</si>
  <si>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</si>
  <si>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</si>
  <si>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</si>
  <si>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</si>
  <si>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</si>
  <si>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</si>
  <si>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</si>
  <si>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</si>
  <si>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</si>
  <si>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</si>
  <si>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</si>
  <si>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</si>
  <si>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</si>
  <si>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</si>
  <si>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</si>
  <si>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</si>
  <si>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</si>
  <si>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</si>
  <si>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</si>
  <si>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</si>
  <si>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</si>
  <si>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</si>
  <si>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</si>
  <si>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</si>
  <si>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</si>
  <si>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</si>
  <si>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</si>
  <si>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</si>
  <si>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</si>
  <si>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</si>
  <si>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</si>
  <si>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</si>
  <si>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</si>
  <si>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</si>
  <si>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</si>
  <si>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</si>
  <si>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</si>
  <si>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</si>
  <si>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</si>
  <si>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</si>
  <si>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</si>
  <si>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</si>
  <si>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</si>
  <si>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</si>
  <si>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</si>
  <si>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</si>
  <si>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</si>
  <si>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</si>
  <si>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</si>
  <si>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</si>
  <si>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</si>
  <si>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</si>
  <si>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</si>
  <si>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</si>
  <si>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</si>
  <si>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</si>
  <si>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</si>
  <si>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</si>
  <si>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</si>
  <si>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</si>
  <si>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</si>
  <si>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</si>
  <si>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</si>
  <si>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</si>
  <si>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</si>
  <si>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</si>
  <si>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</si>
  <si>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</si>
  <si>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</si>
  <si>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</si>
  <si>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</si>
  <si>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</si>
  <si>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</si>
  <si>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</si>
  <si>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</si>
  <si>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</si>
  <si>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</si>
  <si>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</si>
  <si>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</si>
  <si>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</si>
  <si>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</si>
  <si>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</si>
  <si>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</si>
  <si>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</si>
  <si>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</si>
  <si>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</si>
  <si>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</si>
  <si>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</si>
  <si>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</si>
  <si>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</si>
  <si>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</si>
  <si>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</si>
  <si>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</si>
  <si>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</si>
  <si>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</si>
  <si>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</si>
  <si>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</si>
  <si>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</si>
  <si>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</si>
  <si>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</si>
  <si>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</si>
  <si>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</si>
  <si>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</si>
  <si>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</si>
  <si>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</si>
  <si>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</si>
  <si>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</si>
  <si>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</si>
  <si>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99685</t>
  </si>
  <si>
    <t>219</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</si>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</sst>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136</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2268223</v>
      </c>
      <c r="E5" s="112">
        <f>SUM('Pt 2 Premium and Claims'!E$5,'Pt 2 Premium and Claims'!E$6,-'Pt 2 Premium and Claims'!E$7,-'Pt 2 Premium and Claims'!E$13,'Pt 2 Premium and Claims'!E$14:'Pt 2 Premium and Claims'!E$17)</f>
        <v>2251185.36</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1226748</v>
      </c>
      <c r="K5" s="112">
        <f>SUM('Pt 2 Premium and Claims'!K$5,'Pt 2 Premium and Claims'!K$6,-'Pt 2 Premium and Claims'!K$7,-'Pt 2 Premium and Claims'!K$13,'Pt 2 Premium and Claims'!K$14,'Pt 2 Premium and Claims'!K$16:'Pt 2 Premium and Claims'!K$17)</f>
        <v>1254914.7453315</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164358277</v>
      </c>
      <c r="AT5" s="113">
        <f>SUM('Pt 2 Premium and Claims'!AT$5,'Pt 2 Premium and Claims'!AT$6,-'Pt 2 Premium and Claims'!AT$7,-'Pt 2 Premium and Claims'!AT$13,'Pt 2 Premium and Claims'!AT$14)</f>
        <v>3794586</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-4240</v>
      </c>
      <c r="E7" s="116">
        <v>-4240</v>
      </c>
      <c r="F7" s="116"/>
      <c r="G7" s="116"/>
      <c r="H7" s="116"/>
      <c r="I7" s="115"/>
      <c r="J7" s="115">
        <v>-588</v>
      </c>
      <c r="K7" s="116">
        <v>-588</v>
      </c>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-13745</v>
      </c>
      <c r="E8" s="295"/>
      <c r="F8" s="296"/>
      <c r="G8" s="296"/>
      <c r="H8" s="296"/>
      <c r="I8" s="299"/>
      <c r="J8" s="115">
        <v>-1650</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339377</v>
      </c>
      <c r="AT8" s="119">
        <v>-18558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1747308</v>
      </c>
      <c r="E12" s="112">
        <f>'Pt 2 Premium and Claims'!E$54</f>
        <v>1614966.3214999998</v>
      </c>
      <c r="F12" s="112">
        <f>'Pt 2 Premium and Claims'!F$54</f>
        <v>0</v>
      </c>
      <c r="G12" s="112">
        <f>'Pt 2 Premium and Claims'!G$54</f>
        <v>0</v>
      </c>
      <c r="H12" s="112">
        <f>'Pt 2 Premium and Claims'!H$54</f>
        <v>0</v>
      </c>
      <c r="I12" s="111">
        <f>'Pt 2 Premium and Claims'!I$54</f>
        <v>0</v>
      </c>
      <c r="J12" s="111">
        <f>'Pt 2 Premium and Claims'!J$54</f>
        <v>715300</v>
      </c>
      <c r="K12" s="112">
        <f>'Pt 2 Premium and Claims'!K$54</f>
        <v>720706.0655661599</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-2.2737367544323206E-13</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128459260</v>
      </c>
      <c r="AT12" s="113">
        <f>'Pt 2 Premium and Claims'!AT$54</f>
        <v>2413113</v>
      </c>
      <c r="AU12" s="113">
        <f>'Pt 2 Premium and Claims'!AU$54</f>
        <v>0</v>
      </c>
      <c r="AV12" s="318"/>
      <c r="AW12" s="323"/>
    </row>
    <row r="13" spans="1:49" ht="25.5" x14ac:dyDescent="0.2">
      <c r="B13" s="161" t="s">
        <v>230</v>
      </c>
      <c r="C13" s="68" t="s">
        <v>37</v>
      </c>
      <c r="D13" s="115">
        <v>187052</v>
      </c>
      <c r="E13" s="116">
        <v>187251.62</v>
      </c>
      <c r="F13" s="116"/>
      <c r="G13" s="295"/>
      <c r="H13" s="296"/>
      <c r="I13" s="115"/>
      <c r="J13" s="115">
        <v>134807</v>
      </c>
      <c r="K13" s="116">
        <v>134753.82999999999</v>
      </c>
      <c r="L13" s="116"/>
      <c r="M13" s="295"/>
      <c r="N13" s="296"/>
      <c r="O13" s="115"/>
      <c r="P13" s="115"/>
      <c r="Q13" s="116">
        <v>3.5527136788005009E-15</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60099384</v>
      </c>
      <c r="AT13" s="119">
        <v>229</v>
      </c>
      <c r="AU13" s="119"/>
      <c r="AV13" s="317"/>
      <c r="AW13" s="324"/>
    </row>
    <row r="14" spans="1:49" ht="25.5" x14ac:dyDescent="0.2">
      <c r="B14" s="161" t="s">
        <v>231</v>
      </c>
      <c r="C14" s="68" t="s">
        <v>6</v>
      </c>
      <c r="D14" s="115">
        <v>21726</v>
      </c>
      <c r="E14" s="116">
        <v>19338.109999999997</v>
      </c>
      <c r="F14" s="116"/>
      <c r="G14" s="294"/>
      <c r="H14" s="297"/>
      <c r="I14" s="115"/>
      <c r="J14" s="115">
        <v>17266</v>
      </c>
      <c r="K14" s="116">
        <v>16474.170000000002</v>
      </c>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16436113.000000002</v>
      </c>
      <c r="AT14" s="119">
        <v>4</v>
      </c>
      <c r="AU14" s="119"/>
      <c r="AV14" s="317"/>
      <c r="AW14" s="324"/>
    </row>
    <row r="15" spans="1:49" ht="38.25" x14ac:dyDescent="0.2">
      <c r="B15" s="161" t="s">
        <v>232</v>
      </c>
      <c r="C15" s="68" t="s">
        <v>7</v>
      </c>
      <c r="D15" s="115">
        <v>71</v>
      </c>
      <c r="E15" s="116">
        <v>71</v>
      </c>
      <c r="F15" s="116"/>
      <c r="G15" s="294"/>
      <c r="H15" s="300"/>
      <c r="I15" s="115"/>
      <c r="J15" s="115">
        <v>34</v>
      </c>
      <c r="K15" s="116">
        <v>34</v>
      </c>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5121</v>
      </c>
      <c r="AT15" s="119">
        <v>140</v>
      </c>
      <c r="AU15" s="119"/>
      <c r="AV15" s="317"/>
      <c r="AW15" s="324"/>
    </row>
    <row r="16" spans="1:49" ht="25.5" x14ac:dyDescent="0.2">
      <c r="B16" s="161" t="s">
        <v>233</v>
      </c>
      <c r="C16" s="68" t="s">
        <v>61</v>
      </c>
      <c r="D16" s="115">
        <v>-15747</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307803</v>
      </c>
      <c r="AT16" s="119">
        <v>-55659</v>
      </c>
      <c r="AU16" s="119"/>
      <c r="AV16" s="317"/>
      <c r="AW16" s="324"/>
    </row>
    <row r="17" spans="1:49" x14ac:dyDescent="0.2">
      <c r="B17" s="161" t="s">
        <v>234</v>
      </c>
      <c r="C17" s="68" t="s">
        <v>62</v>
      </c>
      <c r="D17" s="115">
        <v>-152266</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-68208</v>
      </c>
      <c r="AU17" s="119"/>
      <c r="AV17" s="317"/>
      <c r="AW17" s="324"/>
    </row>
    <row r="18" spans="1:49" x14ac:dyDescent="0.2">
      <c r="B18" s="161" t="s">
        <v>235</v>
      </c>
      <c r="C18" s="68" t="s">
        <v>63</v>
      </c>
      <c r="D18" s="115">
        <v>178698</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157904</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131472</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3287</v>
      </c>
      <c r="E22" s="121">
        <f>'Pt 2 Premium and Claims'!E$55</f>
        <v>3287</v>
      </c>
      <c r="F22" s="121">
        <f>'Pt 2 Premium and Claims'!F$55</f>
        <v>0</v>
      </c>
      <c r="G22" s="121">
        <f>'Pt 2 Premium and Claims'!G$55</f>
        <v>0</v>
      </c>
      <c r="H22" s="121">
        <f>'Pt 2 Premium and Claims'!H$55</f>
        <v>0</v>
      </c>
      <c r="I22" s="120">
        <f>'Pt 2 Premium and Claims'!I$55</f>
        <v>0</v>
      </c>
      <c r="J22" s="120">
        <f>'Pt 2 Premium and Claims'!J$55</f>
        <v>893</v>
      </c>
      <c r="K22" s="121">
        <f>'Pt 2 Premium and Claims'!K$55</f>
        <v>893</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-19872.715749999999</v>
      </c>
      <c r="E25" s="116">
        <v>-19872.715749999999</v>
      </c>
      <c r="F25" s="116"/>
      <c r="G25" s="116"/>
      <c r="H25" s="116"/>
      <c r="I25" s="115"/>
      <c r="J25" s="115">
        <v>105147.74370000001</v>
      </c>
      <c r="K25" s="116">
        <v>105147.74370000001</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4095724.949</v>
      </c>
      <c r="AT25" s="119">
        <v>163546.07260000001</v>
      </c>
      <c r="AU25" s="119"/>
      <c r="AV25" s="119"/>
      <c r="AW25" s="324"/>
    </row>
    <row r="26" spans="1:49" s="11" customFormat="1" x14ac:dyDescent="0.2">
      <c r="A26" s="41"/>
      <c r="B26" s="164" t="s">
        <v>243</v>
      </c>
      <c r="C26" s="68"/>
      <c r="D26" s="115"/>
      <c r="E26" s="116">
        <v>2360.71</v>
      </c>
      <c r="F26" s="116"/>
      <c r="G26" s="116"/>
      <c r="H26" s="116"/>
      <c r="I26" s="115"/>
      <c r="J26" s="115"/>
      <c r="K26" s="116">
        <v>476.30999999999995</v>
      </c>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28372.18</v>
      </c>
      <c r="E27" s="116">
        <v>28372.18</v>
      </c>
      <c r="F27" s="116"/>
      <c r="G27" s="116"/>
      <c r="H27" s="116"/>
      <c r="I27" s="115"/>
      <c r="J27" s="115">
        <v>13256.289999999999</v>
      </c>
      <c r="K27" s="116">
        <v>13256.289999999999</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2048276.76</v>
      </c>
      <c r="AT27" s="119">
        <v>12544.98</v>
      </c>
      <c r="AU27" s="119"/>
      <c r="AV27" s="320"/>
      <c r="AW27" s="324"/>
    </row>
    <row r="28" spans="1:49" s="11" customFormat="1" x14ac:dyDescent="0.2">
      <c r="A28" s="41"/>
      <c r="B28" s="164" t="s">
        <v>245</v>
      </c>
      <c r="C28" s="68"/>
      <c r="D28" s="115">
        <v>69930.09</v>
      </c>
      <c r="E28" s="116">
        <v>11217.599999999999</v>
      </c>
      <c r="F28" s="116"/>
      <c r="G28" s="116"/>
      <c r="H28" s="116"/>
      <c r="I28" s="115"/>
      <c r="J28" s="115">
        <v>15812.49</v>
      </c>
      <c r="K28" s="116">
        <v>1851.11</v>
      </c>
      <c r="L28" s="116"/>
      <c r="M28" s="116"/>
      <c r="N28" s="116"/>
      <c r="O28" s="115"/>
      <c r="P28" s="115">
        <v>0.01</v>
      </c>
      <c r="Q28" s="116">
        <v>7.0000000000000007E-2</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11201.019999999999</v>
      </c>
      <c r="AT28" s="119">
        <v>1484.04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-415.91335400000003</v>
      </c>
      <c r="E30" s="116">
        <v>-2842.1865539999999</v>
      </c>
      <c r="F30" s="116"/>
      <c r="G30" s="116"/>
      <c r="H30" s="116"/>
      <c r="I30" s="115"/>
      <c r="J30" s="115">
        <v>8188.8050329999987</v>
      </c>
      <c r="K30" s="116">
        <v>8378.9750329999988</v>
      </c>
      <c r="L30" s="116"/>
      <c r="M30" s="116"/>
      <c r="N30" s="116"/>
      <c r="O30" s="115"/>
      <c r="P30" s="115">
        <v>-749.43000000000018</v>
      </c>
      <c r="Q30" s="116">
        <v>-749.42000000000019</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312767.77259999997</v>
      </c>
      <c r="AT30" s="119">
        <v>12323.651860000007</v>
      </c>
      <c r="AU30" s="119"/>
      <c r="AV30" s="119"/>
      <c r="AW30" s="324"/>
    </row>
    <row r="31" spans="1:49" x14ac:dyDescent="0.2">
      <c r="B31" s="164" t="s">
        <v>248</v>
      </c>
      <c r="C31" s="68"/>
      <c r="D31" s="115">
        <v>7630.8532000000005</v>
      </c>
      <c r="E31" s="116">
        <v>6503.5632000000005</v>
      </c>
      <c r="F31" s="116"/>
      <c r="G31" s="116"/>
      <c r="H31" s="116"/>
      <c r="I31" s="115"/>
      <c r="J31" s="115">
        <v>1645.4299999999998</v>
      </c>
      <c r="K31" s="116">
        <v>1645.4299999999998</v>
      </c>
      <c r="L31" s="116"/>
      <c r="M31" s="116"/>
      <c r="N31" s="116"/>
      <c r="O31" s="115"/>
      <c r="P31" s="115">
        <v>749.43000000000006</v>
      </c>
      <c r="Q31" s="116">
        <v>749.43000000000006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4995.96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73919.189999999988</v>
      </c>
      <c r="F34" s="116"/>
      <c r="G34" s="116"/>
      <c r="H34" s="116"/>
      <c r="I34" s="115"/>
      <c r="J34" s="115"/>
      <c r="K34" s="116">
        <v>15157.84</v>
      </c>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3063.71</v>
      </c>
      <c r="E35" s="116">
        <v>3141.71</v>
      </c>
      <c r="F35" s="116"/>
      <c r="G35" s="116"/>
      <c r="H35" s="116"/>
      <c r="I35" s="115"/>
      <c r="J35" s="115">
        <v>521.45000000000005</v>
      </c>
      <c r="K35" s="116">
        <v>643.69000000000005</v>
      </c>
      <c r="L35" s="116"/>
      <c r="M35" s="116"/>
      <c r="N35" s="116"/>
      <c r="O35" s="115"/>
      <c r="P35" s="115">
        <v>0.02</v>
      </c>
      <c r="Q35" s="116">
        <v>0.02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103599.57999999997</v>
      </c>
      <c r="AT35" s="119">
        <v>3524.5700000000006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9114</v>
      </c>
      <c r="E37" s="124">
        <v>9113.99</v>
      </c>
      <c r="F37" s="124"/>
      <c r="G37" s="124"/>
      <c r="H37" s="124"/>
      <c r="I37" s="123"/>
      <c r="J37" s="123">
        <v>3823</v>
      </c>
      <c r="K37" s="124">
        <v>3823.2799999999997</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1065072</v>
      </c>
      <c r="AT37" s="125">
        <v>28</v>
      </c>
      <c r="AU37" s="125"/>
      <c r="AV37" s="125"/>
      <c r="AW37" s="323"/>
    </row>
    <row r="38" spans="1:49" x14ac:dyDescent="0.2">
      <c r="B38" s="161" t="s">
        <v>255</v>
      </c>
      <c r="C38" s="68" t="s">
        <v>16</v>
      </c>
      <c r="D38" s="115">
        <v>2224</v>
      </c>
      <c r="E38" s="116">
        <v>2223.58</v>
      </c>
      <c r="F38" s="116"/>
      <c r="G38" s="116"/>
      <c r="H38" s="116"/>
      <c r="I38" s="115"/>
      <c r="J38" s="115">
        <v>1913</v>
      </c>
      <c r="K38" s="116">
        <v>1912.67</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376715</v>
      </c>
      <c r="AT38" s="119"/>
      <c r="AU38" s="119"/>
      <c r="AV38" s="119"/>
      <c r="AW38" s="324"/>
    </row>
    <row r="39" spans="1:49" x14ac:dyDescent="0.2">
      <c r="B39" s="164" t="s">
        <v>256</v>
      </c>
      <c r="C39" s="68" t="s">
        <v>17</v>
      </c>
      <c r="D39" s="115">
        <v>6452</v>
      </c>
      <c r="E39" s="116">
        <v>6452.37</v>
      </c>
      <c r="F39" s="116"/>
      <c r="G39" s="116"/>
      <c r="H39" s="116"/>
      <c r="I39" s="115"/>
      <c r="J39" s="115">
        <v>3256</v>
      </c>
      <c r="K39" s="116">
        <v>3256.4500000000003</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375595</v>
      </c>
      <c r="AT39" s="119">
        <v>1941</v>
      </c>
      <c r="AU39" s="119"/>
      <c r="AV39" s="119"/>
      <c r="AW39" s="324"/>
    </row>
    <row r="40" spans="1:49" x14ac:dyDescent="0.2">
      <c r="B40" s="164" t="s">
        <v>257</v>
      </c>
      <c r="C40" s="68" t="s">
        <v>38</v>
      </c>
      <c r="D40" s="115">
        <v>1667</v>
      </c>
      <c r="E40" s="116">
        <v>1667.4</v>
      </c>
      <c r="F40" s="116"/>
      <c r="G40" s="116"/>
      <c r="H40" s="116"/>
      <c r="I40" s="115"/>
      <c r="J40" s="115">
        <v>6489</v>
      </c>
      <c r="K40" s="116">
        <v>6488.9900000000007</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616031</v>
      </c>
      <c r="AT40" s="119">
        <v>6157</v>
      </c>
      <c r="AU40" s="119"/>
      <c r="AV40" s="119"/>
      <c r="AW40" s="324"/>
    </row>
    <row r="41" spans="1:49" s="11" customFormat="1" ht="25.5" x14ac:dyDescent="0.2">
      <c r="A41" s="41"/>
      <c r="B41" s="164" t="s">
        <v>258</v>
      </c>
      <c r="C41" s="68" t="s">
        <v>129</v>
      </c>
      <c r="D41" s="115">
        <v>5653</v>
      </c>
      <c r="E41" s="116">
        <v>5652.59</v>
      </c>
      <c r="F41" s="116"/>
      <c r="G41" s="116"/>
      <c r="H41" s="116"/>
      <c r="I41" s="115"/>
      <c r="J41" s="115">
        <v>829</v>
      </c>
      <c r="K41" s="116">
        <v>829.09</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633379</v>
      </c>
      <c r="AT41" s="119">
        <v>6021</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32825</v>
      </c>
      <c r="E44" s="124">
        <v>32825</v>
      </c>
      <c r="F44" s="124"/>
      <c r="G44" s="124"/>
      <c r="H44" s="124"/>
      <c r="I44" s="123"/>
      <c r="J44" s="123">
        <v>9376</v>
      </c>
      <c r="K44" s="124">
        <v>9376</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2123763</v>
      </c>
      <c r="AT44" s="125">
        <v>12288</v>
      </c>
      <c r="AU44" s="125"/>
      <c r="AV44" s="125"/>
      <c r="AW44" s="323"/>
    </row>
    <row r="45" spans="1:49" x14ac:dyDescent="0.2">
      <c r="B45" s="167" t="s">
        <v>262</v>
      </c>
      <c r="C45" s="68" t="s">
        <v>19</v>
      </c>
      <c r="D45" s="115">
        <v>38559</v>
      </c>
      <c r="E45" s="116">
        <v>38559</v>
      </c>
      <c r="F45" s="116"/>
      <c r="G45" s="116"/>
      <c r="H45" s="116"/>
      <c r="I45" s="115"/>
      <c r="J45" s="115">
        <v>5051</v>
      </c>
      <c r="K45" s="116">
        <v>5051</v>
      </c>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2188399</v>
      </c>
      <c r="AT45" s="119">
        <v>52634</v>
      </c>
      <c r="AU45" s="119"/>
      <c r="AV45" s="119"/>
      <c r="AW45" s="324"/>
    </row>
    <row r="46" spans="1:49" x14ac:dyDescent="0.2">
      <c r="B46" s="167" t="s">
        <v>263</v>
      </c>
      <c r="C46" s="68" t="s">
        <v>20</v>
      </c>
      <c r="D46" s="115">
        <v>42690</v>
      </c>
      <c r="E46" s="116">
        <v>42690</v>
      </c>
      <c r="F46" s="116"/>
      <c r="G46" s="116"/>
      <c r="H46" s="116"/>
      <c r="I46" s="115"/>
      <c r="J46" s="115">
        <v>5859</v>
      </c>
      <c r="K46" s="116">
        <v>5859</v>
      </c>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2086217.9999999998</v>
      </c>
      <c r="AT46" s="119">
        <v>24782</v>
      </c>
      <c r="AU46" s="119"/>
      <c r="AV46" s="119"/>
      <c r="AW46" s="324"/>
    </row>
    <row r="47" spans="1:49" x14ac:dyDescent="0.2">
      <c r="B47" s="167" t="s">
        <v>264</v>
      </c>
      <c r="C47" s="68" t="s">
        <v>21</v>
      </c>
      <c r="D47" s="115">
        <v>89190</v>
      </c>
      <c r="E47" s="116">
        <v>89190</v>
      </c>
      <c r="F47" s="116"/>
      <c r="G47" s="116"/>
      <c r="H47" s="116"/>
      <c r="I47" s="115"/>
      <c r="J47" s="115">
        <v>56658</v>
      </c>
      <c r="K47" s="116">
        <v>56658</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1537843</v>
      </c>
      <c r="AT47" s="119">
        <v>380002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10415.410153999999</v>
      </c>
      <c r="E49" s="116">
        <v>1959.983354</v>
      </c>
      <c r="F49" s="116"/>
      <c r="G49" s="116"/>
      <c r="H49" s="116"/>
      <c r="I49" s="115"/>
      <c r="J49" s="115">
        <v>-5149.5650329999989</v>
      </c>
      <c r="K49" s="116">
        <v>-7134.7450329999992</v>
      </c>
      <c r="L49" s="116"/>
      <c r="M49" s="116"/>
      <c r="N49" s="116"/>
      <c r="O49" s="115"/>
      <c r="P49" s="115">
        <v>7.0000000000000007E-2</v>
      </c>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631129.53740000003</v>
      </c>
      <c r="AT49" s="119">
        <v>26263.258140000002</v>
      </c>
      <c r="AU49" s="119"/>
      <c r="AV49" s="119"/>
      <c r="AW49" s="324"/>
    </row>
    <row r="50" spans="2:49" ht="25.5" x14ac:dyDescent="0.2">
      <c r="B50" s="161" t="s">
        <v>266</v>
      </c>
      <c r="C50" s="68"/>
      <c r="D50" s="115">
        <v>163.71000000000006</v>
      </c>
      <c r="E50" s="116">
        <v>163.71000000000006</v>
      </c>
      <c r="F50" s="116"/>
      <c r="G50" s="116"/>
      <c r="H50" s="116"/>
      <c r="I50" s="115"/>
      <c r="J50" s="115">
        <v>27.89</v>
      </c>
      <c r="K50" s="116">
        <v>27.89</v>
      </c>
      <c r="L50" s="116"/>
      <c r="M50" s="116"/>
      <c r="N50" s="116"/>
      <c r="O50" s="115"/>
      <c r="P50" s="115">
        <v>0.01</v>
      </c>
      <c r="Q50" s="116">
        <v>0.01</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6233.6400000000012</v>
      </c>
      <c r="AT50" s="119">
        <v>179.68</v>
      </c>
      <c r="AU50" s="119"/>
      <c r="AV50" s="119"/>
      <c r="AW50" s="324"/>
    </row>
    <row r="51" spans="2:49" x14ac:dyDescent="0.2">
      <c r="B51" s="161" t="s">
        <v>267</v>
      </c>
      <c r="C51" s="68"/>
      <c r="D51" s="115">
        <v>321166</v>
      </c>
      <c r="E51" s="116">
        <v>321166</v>
      </c>
      <c r="F51" s="116"/>
      <c r="G51" s="116"/>
      <c r="H51" s="116"/>
      <c r="I51" s="115"/>
      <c r="J51" s="115">
        <v>54823</v>
      </c>
      <c r="K51" s="116">
        <v>54823</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10535967</v>
      </c>
      <c r="AT51" s="119">
        <v>378097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542</v>
      </c>
      <c r="E56" s="128">
        <v>535</v>
      </c>
      <c r="F56" s="128"/>
      <c r="G56" s="128"/>
      <c r="H56" s="128"/>
      <c r="I56" s="127"/>
      <c r="J56" s="127">
        <v>66</v>
      </c>
      <c r="K56" s="128">
        <v>109</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65074</v>
      </c>
      <c r="AT56" s="129">
        <v>5406</v>
      </c>
      <c r="AU56" s="129"/>
      <c r="AV56" s="129"/>
      <c r="AW56" s="315"/>
    </row>
    <row r="57" spans="2:49" x14ac:dyDescent="0.2">
      <c r="B57" s="167" t="s">
        <v>273</v>
      </c>
      <c r="C57" s="68" t="s">
        <v>25</v>
      </c>
      <c r="D57" s="130">
        <v>983</v>
      </c>
      <c r="E57" s="131">
        <v>974</v>
      </c>
      <c r="F57" s="131"/>
      <c r="G57" s="131"/>
      <c r="H57" s="131"/>
      <c r="I57" s="130"/>
      <c r="J57" s="130">
        <v>187</v>
      </c>
      <c r="K57" s="131">
        <v>188</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70115</v>
      </c>
      <c r="AT57" s="132">
        <v>9096</v>
      </c>
      <c r="AU57" s="132"/>
      <c r="AV57" s="132"/>
      <c r="AW57" s="316"/>
    </row>
    <row r="58" spans="2:49" x14ac:dyDescent="0.2">
      <c r="B58" s="167" t="s">
        <v>274</v>
      </c>
      <c r="C58" s="68" t="s">
        <v>26</v>
      </c>
      <c r="D58" s="336"/>
      <c r="E58" s="337"/>
      <c r="F58" s="337"/>
      <c r="G58" s="337"/>
      <c r="H58" s="337"/>
      <c r="I58" s="336"/>
      <c r="J58" s="130">
        <v>21</v>
      </c>
      <c r="K58" s="131">
        <v>21</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9</v>
      </c>
      <c r="AT58" s="132">
        <v>41</v>
      </c>
      <c r="AU58" s="132"/>
      <c r="AV58" s="132"/>
      <c r="AW58" s="316"/>
    </row>
    <row r="59" spans="2:49" x14ac:dyDescent="0.2">
      <c r="B59" s="167" t="s">
        <v>275</v>
      </c>
      <c r="C59" s="68" t="s">
        <v>27</v>
      </c>
      <c r="D59" s="130">
        <v>13394</v>
      </c>
      <c r="E59" s="131">
        <v>13384</v>
      </c>
      <c r="F59" s="131"/>
      <c r="G59" s="131"/>
      <c r="H59" s="131"/>
      <c r="I59" s="130"/>
      <c r="J59" s="130">
        <v>2721</v>
      </c>
      <c r="K59" s="131">
        <v>2722</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832339</v>
      </c>
      <c r="AT59" s="132">
        <v>75501</v>
      </c>
      <c r="AU59" s="132"/>
      <c r="AV59" s="132"/>
      <c r="AW59" s="316"/>
    </row>
    <row r="60" spans="2:49" x14ac:dyDescent="0.2">
      <c r="B60" s="167" t="s">
        <v>276</v>
      </c>
      <c r="C60" s="68"/>
      <c r="D60" s="133">
        <f>D$59/12</f>
        <v>1116.1666666666667</v>
      </c>
      <c r="E60" s="134">
        <f>E$59/12</f>
        <v>1115.3333333333333</v>
      </c>
      <c r="F60" s="134">
        <f>F$59/12</f>
        <v>0</v>
      </c>
      <c r="G60" s="134">
        <f>G$59/12</f>
        <v>0</v>
      </c>
      <c r="H60" s="134">
        <f>H$59/12</f>
        <v>0</v>
      </c>
      <c r="I60" s="133">
        <f>I$59/12</f>
        <v>0</v>
      </c>
      <c r="J60" s="133">
        <f>J$59/12</f>
        <v>226.75</v>
      </c>
      <c r="K60" s="134">
        <f>K$59/12</f>
        <v>226.83333333333334</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69361.583333333328</v>
      </c>
      <c r="AT60" s="135">
        <f>AT$59/12</f>
        <v>6291.75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2267251</v>
      </c>
      <c r="E5" s="124">
        <v>2178290.92</v>
      </c>
      <c r="F5" s="124"/>
      <c r="G5" s="136"/>
      <c r="H5" s="136"/>
      <c r="I5" s="123"/>
      <c r="J5" s="123">
        <v>1226748</v>
      </c>
      <c r="K5" s="124">
        <v>1227528.8553315001</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164358277</v>
      </c>
      <c r="AT5" s="125">
        <v>3810551</v>
      </c>
      <c r="AU5" s="125"/>
      <c r="AV5" s="318"/>
      <c r="AW5" s="323"/>
    </row>
    <row r="6" spans="2:49" x14ac:dyDescent="0.2">
      <c r="B6" s="182" t="s">
        <v>279</v>
      </c>
      <c r="C6" s="139" t="s">
        <v>8</v>
      </c>
      <c r="D6" s="115">
        <v>18251</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8280</v>
      </c>
      <c r="AU6" s="119"/>
      <c r="AV6" s="317"/>
      <c r="AW6" s="324"/>
    </row>
    <row r="7" spans="2:49" x14ac:dyDescent="0.2">
      <c r="B7" s="182" t="s">
        <v>280</v>
      </c>
      <c r="C7" s="139" t="s">
        <v>9</v>
      </c>
      <c r="D7" s="115">
        <v>17279</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24245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-0.66000000006170012</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-0.11999999999534339</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-3582152</v>
      </c>
      <c r="AT11" s="119"/>
      <c r="AU11" s="119"/>
      <c r="AV11" s="317"/>
      <c r="AW11" s="324"/>
    </row>
    <row r="12" spans="2:49" x14ac:dyDescent="0.2">
      <c r="B12" s="182" t="s">
        <v>283</v>
      </c>
      <c r="C12" s="139" t="s">
        <v>44</v>
      </c>
      <c r="D12" s="115">
        <v>-0.16000000009080395</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-2591170</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4723.9400000000023</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68170.5</v>
      </c>
      <c r="F16" s="116"/>
      <c r="G16" s="116"/>
      <c r="H16" s="116"/>
      <c r="I16" s="115"/>
      <c r="J16" s="115"/>
      <c r="K16" s="116">
        <v>27385.89</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339377</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-18508</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1646245</v>
      </c>
      <c r="E23" s="294"/>
      <c r="F23" s="294"/>
      <c r="G23" s="294"/>
      <c r="H23" s="294"/>
      <c r="I23" s="298"/>
      <c r="J23" s="115">
        <v>772697</v>
      </c>
      <c r="K23" s="294"/>
      <c r="L23" s="294"/>
      <c r="M23" s="294"/>
      <c r="N23" s="294"/>
      <c r="O23" s="298"/>
      <c r="P23" s="115">
        <v>35773</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133044595.99999999</v>
      </c>
      <c r="AT23" s="119">
        <v>2343364</v>
      </c>
      <c r="AU23" s="119"/>
      <c r="AV23" s="317"/>
      <c r="AW23" s="324"/>
    </row>
    <row r="24" spans="2:49" ht="28.5" customHeight="1" x14ac:dyDescent="0.2">
      <c r="B24" s="184" t="s">
        <v>114</v>
      </c>
      <c r="C24" s="139"/>
      <c r="D24" s="299"/>
      <c r="E24" s="116">
        <v>1691470.1400000001</v>
      </c>
      <c r="F24" s="116"/>
      <c r="G24" s="116"/>
      <c r="H24" s="116"/>
      <c r="I24" s="115"/>
      <c r="J24" s="299"/>
      <c r="K24" s="116">
        <v>756633.35856615996</v>
      </c>
      <c r="L24" s="116"/>
      <c r="M24" s="116"/>
      <c r="N24" s="116"/>
      <c r="O24" s="115"/>
      <c r="P24" s="299"/>
      <c r="Q24" s="116">
        <v>1047.6599999999999</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219858</v>
      </c>
      <c r="E26" s="294"/>
      <c r="F26" s="294"/>
      <c r="G26" s="294"/>
      <c r="H26" s="294"/>
      <c r="I26" s="298"/>
      <c r="J26" s="115">
        <v>111654</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10731971</v>
      </c>
      <c r="AT26" s="119">
        <v>353732</v>
      </c>
      <c r="AU26" s="119"/>
      <c r="AV26" s="317"/>
      <c r="AW26" s="324"/>
    </row>
    <row r="27" spans="2:49" s="11" customFormat="1" ht="25.5" x14ac:dyDescent="0.2">
      <c r="B27" s="184" t="s">
        <v>85</v>
      </c>
      <c r="C27" s="139"/>
      <c r="D27" s="299"/>
      <c r="E27" s="116">
        <v>35631.291499999978</v>
      </c>
      <c r="F27" s="116"/>
      <c r="G27" s="116"/>
      <c r="H27" s="116"/>
      <c r="I27" s="115"/>
      <c r="J27" s="299"/>
      <c r="K27" s="116">
        <v>3664.6570000000211</v>
      </c>
      <c r="L27" s="116"/>
      <c r="M27" s="116"/>
      <c r="N27" s="116"/>
      <c r="O27" s="115"/>
      <c r="P27" s="299"/>
      <c r="Q27" s="116">
        <v>-54.099999999999994</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174510</v>
      </c>
      <c r="E28" s="295"/>
      <c r="F28" s="295"/>
      <c r="G28" s="295"/>
      <c r="H28" s="295"/>
      <c r="I28" s="299"/>
      <c r="J28" s="115">
        <v>168389</v>
      </c>
      <c r="K28" s="295"/>
      <c r="L28" s="295"/>
      <c r="M28" s="295"/>
      <c r="N28" s="295"/>
      <c r="O28" s="299"/>
      <c r="P28" s="115">
        <v>37068</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13833500</v>
      </c>
      <c r="AT28" s="119">
        <v>283975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562</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370.22</v>
      </c>
      <c r="L31" s="116"/>
      <c r="M31" s="116"/>
      <c r="N31" s="116"/>
      <c r="O31" s="115"/>
      <c r="P31" s="299"/>
      <c r="Q31" s="116">
        <v>-993.56000000000006</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1186</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418646</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418646</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511443</v>
      </c>
      <c r="E36" s="116">
        <v>511443</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178697</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418196</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131472</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-3582152</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157904</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-2591170</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8005.0000000000009</v>
      </c>
      <c r="E49" s="116">
        <v>19338.11</v>
      </c>
      <c r="F49" s="116"/>
      <c r="G49" s="116"/>
      <c r="H49" s="116"/>
      <c r="I49" s="115"/>
      <c r="J49" s="115">
        <v>2796</v>
      </c>
      <c r="K49" s="116">
        <v>16474.169999999998</v>
      </c>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3651191</v>
      </c>
      <c r="AT49" s="119">
        <v>-19</v>
      </c>
      <c r="AU49" s="119"/>
      <c r="AV49" s="317"/>
      <c r="AW49" s="324"/>
    </row>
    <row r="50" spans="2:49" x14ac:dyDescent="0.2">
      <c r="B50" s="182" t="s">
        <v>119</v>
      </c>
      <c r="C50" s="139" t="s">
        <v>34</v>
      </c>
      <c r="D50" s="115">
        <v>4252</v>
      </c>
      <c r="E50" s="295"/>
      <c r="F50" s="295"/>
      <c r="G50" s="295"/>
      <c r="H50" s="295"/>
      <c r="I50" s="299"/>
      <c r="J50" s="115">
        <v>2758</v>
      </c>
      <c r="K50" s="295"/>
      <c r="L50" s="295"/>
      <c r="M50" s="295"/>
      <c r="N50" s="295"/>
      <c r="O50" s="299"/>
      <c r="P50" s="115">
        <v>1295</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2740170</v>
      </c>
      <c r="AT50" s="119">
        <v>-27</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-23488</v>
      </c>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1747308</v>
      </c>
      <c r="E54" s="121">
        <f>E24+E27+E31+E35-E36+E39+E42+E45+E46-E49+E51+E52+E53</f>
        <v>1614966.3214999998</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715300</v>
      </c>
      <c r="K54" s="121">
        <f>K24+K27+K31+K35-K36+K39+K42+K45+K46-K49+K51+K52+K53</f>
        <v>720706.0655661599</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-2.2737367544323206E-13</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128459260</v>
      </c>
      <c r="AT54" s="122">
        <f>AT23+AT26-AT28+AT30-AT32+AT34-AT36+AT38+AT41-AT43+AT45+AT46-AT47-AT49+AT50+AT51+AT52+AT53</f>
        <v>2413113</v>
      </c>
      <c r="AU54" s="122">
        <f>AU23+AU26-AU28+AU30-AU32+AU34-AU36+AU38+AU41-AU43+AU45+AU46-AU47-AU49+AU50+AU51+AU52+AU53</f>
        <v>0</v>
      </c>
      <c r="AV54" s="317"/>
      <c r="AW54" s="324"/>
    </row>
    <row r="55" spans="2:49" ht="25.5" x14ac:dyDescent="0.2">
      <c r="B55" s="187" t="s">
        <v>304</v>
      </c>
      <c r="C55" s="143" t="s">
        <v>28</v>
      </c>
      <c r="D55" s="120">
        <f>MIN(MAX(0,D56),MAX(0,D57))</f>
        <v>3287</v>
      </c>
      <c r="E55" s="121">
        <f>MIN(MAX(0,E56),MAX(0,E57))</f>
        <v>3287</v>
      </c>
      <c r="F55" s="121">
        <f>MIN(MAX(0,F56),MAX(0,F57))</f>
        <v>0</v>
      </c>
      <c r="G55" s="121">
        <f>MIN(MAX(0,G56),MAX(0,G57))</f>
        <v>0</v>
      </c>
      <c r="H55" s="121">
        <f>MIN(MAX(0,H56),MAX(0,H57))</f>
        <v>0</v>
      </c>
      <c r="I55" s="120">
        <f>MIN(MAX(0,I56),MAX(0,I57))</f>
        <v>0</v>
      </c>
      <c r="J55" s="120">
        <f>MIN(MAX(0,J56),MAX(0,J57))</f>
        <v>893</v>
      </c>
      <c r="K55" s="121">
        <f>MIN(MAX(0,K56),MAX(0,K57))</f>
        <v>893</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4646</v>
      </c>
      <c r="E56" s="116">
        <v>4646</v>
      </c>
      <c r="F56" s="116"/>
      <c r="G56" s="116"/>
      <c r="H56" s="116"/>
      <c r="I56" s="115"/>
      <c r="J56" s="115">
        <v>893</v>
      </c>
      <c r="K56" s="116">
        <v>893</v>
      </c>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3287</v>
      </c>
      <c r="E57" s="116">
        <v>3287</v>
      </c>
      <c r="F57" s="116"/>
      <c r="G57" s="116"/>
      <c r="H57" s="116"/>
      <c r="I57" s="115"/>
      <c r="J57" s="115">
        <v>1495</v>
      </c>
      <c r="K57" s="116">
        <v>1495</v>
      </c>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3031769</v>
      </c>
      <c r="AT57" s="119">
        <v>1890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2459795.09</v>
      </c>
      <c r="D5" s="124">
        <v>1860170.4449999998</v>
      </c>
      <c r="E5" s="352"/>
      <c r="F5" s="352"/>
      <c r="G5" s="318"/>
      <c r="H5" s="123">
        <v>1099516.5799999998</v>
      </c>
      <c r="I5" s="124">
        <v>613767.32072494668</v>
      </c>
      <c r="J5" s="352"/>
      <c r="K5" s="352"/>
      <c r="L5" s="318"/>
      <c r="M5" s="123">
        <v>205784.62000000002</v>
      </c>
      <c r="N5" s="124">
        <v>235442.28387505314</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2463914.16</v>
      </c>
      <c r="D6" s="116">
        <v>1932911.4075</v>
      </c>
      <c r="E6" s="121">
        <f>SUM('Pt 1 Summary of Data'!E$12,'Pt 1 Summary of Data'!E$22)+SUM('Pt 1 Summary of Data'!G$12,'Pt 1 Summary of Data'!G$22)-SUM('Pt 1 Summary of Data'!H$12,'Pt 1 Summary of Data'!H$22)</f>
        <v>1618253.3214999998</v>
      </c>
      <c r="F6" s="121">
        <f>SUM(C6:E6)</f>
        <v>6015078.8889999995</v>
      </c>
      <c r="G6" s="122">
        <f>SUM('Pt 1 Summary of Data'!I$12,'Pt 1 Summary of Data'!I$22)</f>
        <v>0</v>
      </c>
      <c r="H6" s="115">
        <v>1098479.8499999999</v>
      </c>
      <c r="I6" s="116">
        <v>665121.02566478238</v>
      </c>
      <c r="J6" s="121">
        <f>SUM('Pt 1 Summary of Data'!K$12,'Pt 1 Summary of Data'!K$22)+SUM('Pt 1 Summary of Data'!M$12,'Pt 1 Summary of Data'!M$22)-SUM('Pt 1 Summary of Data'!N$12,'Pt 1 Summary of Data'!N$22)</f>
        <v>721599.0655661599</v>
      </c>
      <c r="K6" s="121">
        <f>SUM(H6:J6)</f>
        <v>2485199.941230942</v>
      </c>
      <c r="L6" s="122">
        <f>SUM('Pt 1 Summary of Data'!O$12,'Pt 1 Summary of Data'!O$22)</f>
        <v>0</v>
      </c>
      <c r="M6" s="115">
        <v>205711.51999999996</v>
      </c>
      <c r="N6" s="116">
        <v>233071.48573521734</v>
      </c>
      <c r="O6" s="121">
        <f>SUM('Pt 1 Summary of Data'!Q$12,'Pt 1 Summary of Data'!Q$22)+SUM('Pt 1 Summary of Data'!S$12,'Pt 1 Summary of Data'!S$22)-SUM('Pt 1 Summary of Data'!T$12,'Pt 1 Summary of Data'!T$22)</f>
        <v>-2.2737367544323206E-13</v>
      </c>
      <c r="P6" s="121">
        <f>SUM(M6:O6)</f>
        <v>438783.0057352173</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47076.899999999994</v>
      </c>
      <c r="D7" s="116">
        <v>41278.490000000005</v>
      </c>
      <c r="E7" s="121">
        <f>SUM('Pt 1 Summary of Data'!E$37:E$41)+SUM('Pt 1 Summary of Data'!G$37:G$41)-SUM('Pt 1 Summary of Data'!H$37:H$41)+MAX(0,MIN('Pt 1 Summary of Data'!E$42+'Pt 1 Summary of Data'!G$42-'Pt 1 Summary of Data'!H$42,0.3%*('Pt 1 Summary of Data'!E$5+'Pt 1 Summary of Data'!G$5-'Pt 1 Summary of Data'!H$5-SUM(E$9:E$11))))</f>
        <v>25109.93</v>
      </c>
      <c r="F7" s="121">
        <f>SUM(C7:E7)</f>
        <v>113465.32</v>
      </c>
      <c r="G7" s="122">
        <f>SUM('Pt 1 Summary of Data'!I$37:I$41)+MAX(0,MIN('Pt 1 Summary of Data'!I$42,0.3%*('Pt 1 Summary of Data'!I$5-SUM(G$9:G$10))))</f>
        <v>0</v>
      </c>
      <c r="H7" s="115">
        <v>22469.53</v>
      </c>
      <c r="I7" s="116">
        <v>19939.98</v>
      </c>
      <c r="J7" s="121">
        <f>SUM('Pt 1 Summary of Data'!K$37:K$41)+SUM('Pt 1 Summary of Data'!M$37:M$41)-SUM('Pt 1 Summary of Data'!N$37:N$41)+MAX(0,MIN('Pt 1 Summary of Data'!K$42+'Pt 1 Summary of Data'!M$42-'Pt 1 Summary of Data'!N$42,0.3%*('Pt 1 Summary of Data'!K$5+'Pt 1 Summary of Data'!M$5-'Pt 1 Summary of Data'!N$5-SUM(J$10:J$11))))</f>
        <v>16310.48</v>
      </c>
      <c r="K7" s="121">
        <f>SUM(H7:J7)</f>
        <v>58719.989999999991</v>
      </c>
      <c r="L7" s="122">
        <f>SUM('Pt 1 Summary of Data'!O$37:O$41)+MAX(0,MIN('Pt 1 Summary of Data'!O$42,0.3%*('Pt 1 Summary of Data'!O$5-L$10)))</f>
        <v>0</v>
      </c>
      <c r="M7" s="115">
        <v>6728.27</v>
      </c>
      <c r="N7" s="116">
        <v>5644.12</v>
      </c>
      <c r="O7" s="121">
        <f>SUM('Pt 1 Summary of Data'!Q$37:Q$41)+SUM('Pt 1 Summary of Data'!S$37:S$41)-SUM('Pt 1 Summary of Data'!T$37:T$41)+MAX(0,MIN('Pt 1 Summary of Data'!Q$42+'Pt 1 Summary of Data'!S$42-'Pt 1 Summary of Data'!T$42,0.3%*('Pt 1 Summary of Data'!Q$5+'Pt 1 Summary of Data'!S$5-'Pt 1 Summary of Data'!T$5)))</f>
        <v>0</v>
      </c>
      <c r="P7" s="121">
        <f>SUM(M7:O7)</f>
        <v>12372.39</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4723.9400000000023</v>
      </c>
      <c r="F9" s="121">
        <f>SUM(C9:E9)</f>
        <v>4723.9400000000023</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68170.5</v>
      </c>
      <c r="F10" s="121">
        <f>SUM(C10:E10)</f>
        <v>68170.5</v>
      </c>
      <c r="G10" s="122">
        <f>'Pt 2 Premium and Claims'!I$16</f>
        <v>0</v>
      </c>
      <c r="H10" s="298"/>
      <c r="I10" s="294"/>
      <c r="J10" s="121">
        <f>'Pt 2 Premium and Claims'!K$16+'Pt 2 Premium and Claims'!M$16-'Pt 2 Premium and Claims'!N$16</f>
        <v>27385.89</v>
      </c>
      <c r="K10" s="121">
        <f>SUM(H10:J10)</f>
        <v>27385.89</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2510991.06</v>
      </c>
      <c r="D12" s="121">
        <f>SUM(D$6:D$7)+IF(AND(OR('Company Information'!$C$12="District of Columbia",'Company Information'!$C$12="Massachusetts",'Company Information'!$C$12="Vermont"),SUM($C$6:$F$11,$C$15:$F$16,$C$37:$D$37)&lt;&gt;0),SUM(I$6:I$7),0)</f>
        <v>1974189.8975</v>
      </c>
      <c r="E12" s="121">
        <f>SUM(E$6:E$7)-SUM(E$8:E$11)+IF(AND(OR('Company Information'!$C$12="District of Columbia",'Company Information'!$C$12="Massachusetts",'Company Information'!$C$12="Vermont"),SUM($C$6:$F$11,$C$15:$F$16,$C$37:$D$37)&lt;&gt;0),SUM(J$6:J$7)-SUM(J$10:J$11),0)</f>
        <v>1570468.8114999998</v>
      </c>
      <c r="F12" s="121">
        <f>IFERROR(SUM(C$12:E$12)+C$17*MAX(0,E$49-C$49)+D$17*MAX(0,E$49-D$49),0)</f>
        <v>6055649.7689999994</v>
      </c>
      <c r="G12" s="317"/>
      <c r="H12" s="120">
        <f>SUM(H$6:H$7)+IF(AND(OR('Company Information'!$C$12="District of Columbia",'Company Information'!$C$12="Massachusetts",'Company Information'!$C$12="Vermont"),SUM($H$6:$K$11,$H$15:$K$16,$H$37:$I$37)&lt;&gt;0),SUM(C$6:C$7),0)</f>
        <v>1120949.3799999999</v>
      </c>
      <c r="I12" s="121">
        <f>SUM(I$6:I$7)+IF(AND(OR('Company Information'!$C$12="District of Columbia",'Company Information'!$C$12="Massachusetts",'Company Information'!$C$12="Vermont"),SUM($H$6:$K$11,$H$15:$K$16,$H$37:$I$37)&lt;&gt;0),SUM(D$6:D$7),0)</f>
        <v>685061.00566478237</v>
      </c>
      <c r="J12" s="121">
        <f>SUM(J$6:J$7)-SUM(J$10:J$11)+IF(AND(OR('Company Information'!$C$12="District of Columbia",'Company Information'!$C$12="Massachusetts",'Company Information'!$C$12="Vermont"),SUM($H$6:$K$11,$H$15:$K$16,$H$37:$I$37)&lt;&gt;0),SUM(E$6:E$7)-SUM(E$8:E$11),0)</f>
        <v>710523.65556615987</v>
      </c>
      <c r="K12" s="121">
        <f>IFERROR(SUM(H$12:J$12)+H$17*MAX(0,J$49-H$49)+I$17*MAX(0,J$49-I$49),0)</f>
        <v>2516534.0412309421</v>
      </c>
      <c r="L12" s="317"/>
      <c r="M12" s="120">
        <f>SUM(M$6:M$7)</f>
        <v>212439.78999999995</v>
      </c>
      <c r="N12" s="121">
        <f>SUM(N$6:N$7)</f>
        <v>238715.60573521734</v>
      </c>
      <c r="O12" s="121">
        <f>SUM(O$6:O$7)</f>
        <v>-2.2737367544323206E-13</v>
      </c>
      <c r="P12" s="121">
        <f>SUM(M$12:O$12)+M$17*MAX(0,O$49-M$49)+N$17*MAX(0,O$49-N$49)</f>
        <v>451155.39573521726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3377434.33</v>
      </c>
      <c r="D15" s="124">
        <v>2752405.1089072786</v>
      </c>
      <c r="E15" s="112">
        <f>SUM('Pt 1 Summary of Data'!E$5:E$7)+SUM('Pt 1 Summary of Data'!G$5:G$7)-SUM('Pt 1 Summary of Data'!H$5:H$7)-SUM(E$9:E$11)+D$55</f>
        <v>2203978.261092721</v>
      </c>
      <c r="F15" s="112">
        <f>SUM(C15:E15)</f>
        <v>8333817.6999999993</v>
      </c>
      <c r="G15" s="113">
        <f>SUM('Pt 1 Summary of Data'!I$5:I$7)-SUM(G$9:G$10)</f>
        <v>0</v>
      </c>
      <c r="H15" s="123">
        <v>1633222.23</v>
      </c>
      <c r="I15" s="124">
        <v>1440940.2805579999</v>
      </c>
      <c r="J15" s="112">
        <f>SUM('Pt 1 Summary of Data'!K$5:K$7)+SUM('Pt 1 Summary of Data'!M$5:M$7)-SUM('Pt 1 Summary of Data'!N$5:N$7)-SUM(J$10:J$11)+I$55</f>
        <v>1235438.1291615001</v>
      </c>
      <c r="K15" s="112">
        <f>SUM(H15:J15)</f>
        <v>4309600.6397195002</v>
      </c>
      <c r="L15" s="113">
        <f>SUM('Pt 1 Summary of Data'!O$5:O$7)-L$10</f>
        <v>0</v>
      </c>
      <c r="M15" s="123">
        <v>467893.09</v>
      </c>
      <c r="N15" s="124">
        <v>438998.87802409998</v>
      </c>
      <c r="O15" s="112">
        <f>SUM('Pt 1 Summary of Data'!Q$5:Q$7)+SUM('Pt 1 Summary of Data'!S$5:S$7)-SUM('Pt 1 Summary of Data'!T$5:T$7)+N$55</f>
        <v>0</v>
      </c>
      <c r="P15" s="112">
        <f>SUM(M15:O15)</f>
        <v>906891.96802409994</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161686</v>
      </c>
      <c r="D16" s="116">
        <v>44863.63823790013</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103284.41265809987</v>
      </c>
      <c r="F16" s="121">
        <f>SUM(C16:E16)</f>
        <v>309834.050896</v>
      </c>
      <c r="G16" s="122">
        <f>SUM('Pt 1 Summary of Data'!I$25:I$28,'Pt 1 Summary of Data'!I$30,'Pt 1 Summary of Data'!I$34:I$35)+IF('Company Information'!$C$15="No",IF(MAX('Pt 1 Summary of Data'!I$31:I$32)=0,MIN('Pt 1 Summary of Data'!I$31:I$32),MAX('Pt 1 Summary of Data'!I$31:I$32)),SUM('Pt 1 Summary of Data'!I$31:I$32))</f>
        <v>0</v>
      </c>
      <c r="H16" s="115">
        <v>45321</v>
      </c>
      <c r="I16" s="116">
        <v>173003.78931720564</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147570.59941579436</v>
      </c>
      <c r="K16" s="121">
        <f>SUM(H16:J16)</f>
        <v>365895.38873300003</v>
      </c>
      <c r="L16" s="122">
        <f>SUM('Pt 1 Summary of Data'!O$25:O$28,'Pt 1 Summary of Data'!O$30,'Pt 1 Summary of Data'!O$34:O$35)+IF('Company Information'!$C$15="No",IF(MAX('Pt 1 Summary of Data'!O$31:O$32)=0,MIN('Pt 1 Summary of Data'!O$31:O$32),MAX('Pt 1 Summary of Data'!O$31:O$32)),SUM('Pt 1 Summary of Data'!O$31:O$32))</f>
        <v>0</v>
      </c>
      <c r="M16" s="115">
        <v>141620</v>
      </c>
      <c r="N16" s="116">
        <v>-64471</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9.9999999999909051E-2</v>
      </c>
      <c r="P16" s="121">
        <f>SUM(M16:O16)</f>
        <v>77149.100000000006</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3215748.33</v>
      </c>
      <c r="D17" s="121">
        <f>D$15-D$16+IF(AND(OR('Company Information'!$C$12="District of Columbia",'Company Information'!$C$12="Massachusetts",'Company Information'!$C$12="Vermont"),SUM($C$6:$F$11,$C$15:$F$16,$C$37:$D$37)&lt;&gt;0),I$15-I$16,0)</f>
        <v>2707541.4706693785</v>
      </c>
      <c r="E17" s="121">
        <f>E$15-E$16+IF(AND(OR('Company Information'!$C$12="District of Columbia",'Company Information'!$C$12="Massachusetts",'Company Information'!$C$12="Vermont"),SUM($C$6:$F$11,$C$15:$F$16,$C$37:$D$37)&lt;&gt;0),J$15-J$16,0)</f>
        <v>2100693.848434621</v>
      </c>
      <c r="F17" s="121">
        <f>F$15-F$16+IF(AND(OR('Company Information'!$C$12="District of Columbia",'Company Information'!$C$12="Massachusetts",'Company Information'!$C$12="Vermont"),SUM($C$6:$F$11,$C$15:$F$16,$C$37:$D$37)&lt;&gt;0),K$15-K$16,0)</f>
        <v>8023983.6491039991</v>
      </c>
      <c r="G17" s="320"/>
      <c r="H17" s="120">
        <f>H$15-H$16+IF(AND(OR('Company Information'!$C$12="District of Columbia",'Company Information'!$C$12="Massachusetts",'Company Information'!$C$12="Vermont"),SUM($H$6:$K$11,$H$15:$K$16,$H$37:$I$37)&lt;&gt;0),C$15-C$16,0)</f>
        <v>1587901.23</v>
      </c>
      <c r="I17" s="121">
        <f>I$15-I$16+IF(AND(OR('Company Information'!$C$12="District of Columbia",'Company Information'!$C$12="Massachusetts",'Company Information'!$C$12="Vermont"),SUM($H$6:$K$11,$H$15:$K$16,$H$37:$I$37)&lt;&gt;0),D$15-D$16,0)</f>
        <v>1267936.4912407943</v>
      </c>
      <c r="J17" s="121">
        <f>J$15-J$16+IF(AND(OR('Company Information'!$C$12="District of Columbia",'Company Information'!$C$12="Massachusetts",'Company Information'!$C$12="Vermont"),SUM($H$6:$K$11,$H$15:$K$16,$H$37:$I$37)&lt;&gt;0),E$15-E$16,0)</f>
        <v>1087867.5297457059</v>
      </c>
      <c r="K17" s="121">
        <f>K$15-K$16+IF(AND(OR('Company Information'!$C$12="District of Columbia",'Company Information'!$C$12="Massachusetts",'Company Information'!$C$12="Vermont"),SUM($H$6:$K$11,$H$15:$K$16,$H$37:$I$37)&lt;&gt;0),F$15-F$16,0)</f>
        <v>3943705.2509865002</v>
      </c>
      <c r="L17" s="320"/>
      <c r="M17" s="120">
        <f>M$15-M$16</f>
        <v>326273.09000000003</v>
      </c>
      <c r="N17" s="121">
        <f>N$15-N$16</f>
        <v>503469.87802409998</v>
      </c>
      <c r="O17" s="121">
        <f>O$15-O$16</f>
        <v>-9.9999999999909051E-2</v>
      </c>
      <c r="P17" s="121">
        <f>P$15-P$16</f>
        <v>829742.86802409997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1957.6666666666667</v>
      </c>
      <c r="D37" s="128">
        <v>1524</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1115.3333333333333</v>
      </c>
      <c r="F37" s="262">
        <f>SUM(C$37:E$37)+IF(AND(OR('Company Information'!$C$12="District of Columbia",'Company Information'!$C$12="Massachusetts",'Company Information'!$C$12="Vermont"),SUM($C$6:$F$11,$C$15:$F$16,$C$37:$D$37)&lt;&gt;0,SUM(C$37:D$37)&lt;&gt;SUM(H$37:I$37)),SUM(H$37:I$37),0)</f>
        <v>4597</v>
      </c>
      <c r="G37" s="318"/>
      <c r="H37" s="127">
        <v>258.25</v>
      </c>
      <c r="I37" s="128">
        <v>241</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226.83333333333334</v>
      </c>
      <c r="K37" s="262">
        <f>SUM(H$37:J$37)+IF(AND(OR('Company Information'!$C$12="District of Columbia",'Company Information'!$C$12="Massachusetts",'Company Information'!$C$12="Vermont"),SUM($H$6:$K$11,$H$15:$K$16,$H$37:$I$37)&lt;&gt;0,SUM(H$37:I$37)&lt;&gt;SUM(C$37:D$37)),SUM(C$37:D$37),0)</f>
        <v>726.08333333333337</v>
      </c>
      <c r="L37" s="318"/>
      <c r="M37" s="127">
        <v>75.416666666666671</v>
      </c>
      <c r="N37" s="128">
        <v>67</v>
      </c>
      <c r="O37" s="262">
        <f>('Pt 1 Summary of Data'!Q$59+'Pt 1 Summary of Data'!S$59-'Pt 1 Summary of Data'!T$59)/12</f>
        <v>0</v>
      </c>
      <c r="P37" s="262">
        <f>SUM(M$37:O$37)</f>
        <v>142.41666666666669</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4116.4217080252638</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1.317883346604005</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0.78084190748845073</v>
      </c>
      <c r="D44" s="266">
        <f>IF(OR(D$37&lt;1000,D$17&lt;=0),"",D$12/D$17)</f>
        <v>0.72914484187454609</v>
      </c>
      <c r="E44" s="266">
        <f>IF(OR(E$37&lt;1000,E$17&lt;=0),"",E$12/E$17)</f>
        <v>0.74759528270636377</v>
      </c>
      <c r="F44" s="266">
        <f>IF(OR(F$37&lt;1000,F$17&lt;=0),"",F$12/F$17)</f>
        <v>0.75469368256703828</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0</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0.755</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2013</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0.755</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2100693.848434621</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94531.22317955803</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29927.341092720962</v>
      </c>
      <c r="E55" s="294"/>
      <c r="F55" s="294"/>
      <c r="G55" s="317"/>
      <c r="H55" s="298"/>
      <c r="I55" s="116">
        <v>8497.2738300000001</v>
      </c>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484.36176209987042</v>
      </c>
      <c r="E56" s="294"/>
      <c r="F56" s="294"/>
      <c r="G56" s="317"/>
      <c r="H56" s="298"/>
      <c r="I56" s="116">
        <v>1013.2106827943635</v>
      </c>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535</v>
      </c>
      <c r="D4" s="155">
        <f>'Pt 1 Summary of Data'!$K$56+'Pt 1 Summary of Data'!$M$56-'Pt 1 Summary of Data'!$N$56</f>
        <v>109</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706</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33</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94531.22317955803</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-13.42</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94531.22</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178697.73706417915</v>
      </c>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16746.820000000007</v>
      </c>
      <c r="D22" s="218"/>
      <c r="E22" s="218"/>
      <c r="F22" s="218"/>
      <c r="G22" s="218"/>
      <c r="H22" s="218"/>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506</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494</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