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6" i="10" s="1"/>
  <c r="W45" i="10"/>
  <c r="V45" i="10"/>
  <c r="U45" i="10"/>
  <c r="T45" i="10"/>
  <c r="T46" i="10" s="1"/>
  <c r="S45" i="10"/>
  <c r="R45" i="10"/>
  <c r="Q45" i="10"/>
  <c r="P44" i="10"/>
  <c r="O44" i="10"/>
  <c r="N44" i="10"/>
  <c r="M44" i="10"/>
  <c r="K44" i="10"/>
  <c r="J44" i="10"/>
  <c r="I44" i="10"/>
  <c r="K38" i="10" s="1"/>
  <c r="H44" i="10"/>
  <c r="F44" i="10"/>
  <c r="E44" i="10"/>
  <c r="D44" i="10"/>
  <c r="C44" i="10"/>
  <c r="AB41" i="10"/>
  <c r="X41" i="10"/>
  <c r="T41" i="10"/>
  <c r="P41" i="10"/>
  <c r="K41" i="10"/>
  <c r="F41" i="10"/>
  <c r="AB40" i="10"/>
  <c r="X40" i="10"/>
  <c r="T40" i="10"/>
  <c r="P40" i="10"/>
  <c r="K40" i="10"/>
  <c r="F40" i="10"/>
  <c r="AB38" i="10"/>
  <c r="X38" i="10"/>
  <c r="P38" i="10"/>
  <c r="F38" i="10"/>
  <c r="AB37" i="10"/>
  <c r="AA37" i="10"/>
  <c r="X37" i="10"/>
  <c r="W37" i="10"/>
  <c r="T37" i="10"/>
  <c r="S37" i="10"/>
  <c r="P37" i="10"/>
  <c r="O37" i="10"/>
  <c r="K37" i="10"/>
  <c r="J37" i="10"/>
  <c r="F37" i="10"/>
  <c r="E37" i="10"/>
  <c r="L29" i="10"/>
  <c r="G29" i="10"/>
  <c r="L28" i="10"/>
  <c r="G28" i="10"/>
  <c r="L25" i="10"/>
  <c r="G25" i="10"/>
  <c r="L21" i="10"/>
  <c r="G21" i="10"/>
  <c r="L20" i="10"/>
  <c r="G20" i="10"/>
  <c r="L19" i="10"/>
  <c r="L24" i="10" s="1"/>
  <c r="L23" i="10" s="1"/>
  <c r="L27" i="10" s="1"/>
  <c r="L31" i="10" s="1"/>
  <c r="L32" i="10" s="1"/>
  <c r="L33" i="10" s="1"/>
  <c r="G19" i="10"/>
  <c r="G24" i="10" s="1"/>
  <c r="G23" i="10" s="1"/>
  <c r="AB17" i="10"/>
  <c r="AA17" i="10"/>
  <c r="Z17" i="10"/>
  <c r="Y17" i="10"/>
  <c r="X17" i="10"/>
  <c r="W17" i="10"/>
  <c r="V17" i="10"/>
  <c r="X13" i="10" s="1"/>
  <c r="U17" i="10"/>
  <c r="T17" i="10"/>
  <c r="S17" i="10"/>
  <c r="R17" i="10"/>
  <c r="Q17" i="10"/>
  <c r="P17" i="10"/>
  <c r="O17" i="10"/>
  <c r="N17" i="10"/>
  <c r="M17" i="10"/>
  <c r="K17" i="10"/>
  <c r="J17" i="10"/>
  <c r="I17" i="10"/>
  <c r="H17" i="10"/>
  <c r="F17" i="10"/>
  <c r="E17" i="10"/>
  <c r="D17" i="10"/>
  <c r="C17" i="10"/>
  <c r="AB16" i="10"/>
  <c r="AA16" i="10"/>
  <c r="X16" i="10"/>
  <c r="W16" i="10"/>
  <c r="W13" i="10" s="1"/>
  <c r="T16" i="10"/>
  <c r="S16" i="10"/>
  <c r="P16" i="10"/>
  <c r="O16" i="10"/>
  <c r="L16" i="10"/>
  <c r="K16" i="10"/>
  <c r="J16" i="10"/>
  <c r="J12" i="10" s="1"/>
  <c r="G16" i="10"/>
  <c r="F16" i="10"/>
  <c r="E16" i="10"/>
  <c r="AB15" i="10"/>
  <c r="AA15" i="10"/>
  <c r="X15" i="10"/>
  <c r="W15" i="10"/>
  <c r="T15" i="10"/>
  <c r="S15" i="10"/>
  <c r="P15" i="10"/>
  <c r="O15" i="10"/>
  <c r="L15" i="10"/>
  <c r="K15" i="10"/>
  <c r="J15" i="10"/>
  <c r="G15" i="10"/>
  <c r="F15" i="10"/>
  <c r="E15" i="10"/>
  <c r="AB13" i="10"/>
  <c r="AA13" i="10"/>
  <c r="Z13" i="10"/>
  <c r="Y13" i="10"/>
  <c r="V13" i="10"/>
  <c r="U13" i="10"/>
  <c r="S13" i="10"/>
  <c r="R13" i="10"/>
  <c r="Q13" i="10"/>
  <c r="P12" i="10"/>
  <c r="O12" i="10"/>
  <c r="N12" i="10"/>
  <c r="M12" i="10"/>
  <c r="I12" i="10"/>
  <c r="H12" i="10"/>
  <c r="E12" i="10"/>
  <c r="D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T55" i="18"/>
  <c r="AS55" i="18"/>
  <c r="AC55" i="18"/>
  <c r="AB55" i="18"/>
  <c r="AA55" i="18"/>
  <c r="AA22" i="4" s="1"/>
  <c r="Z55" i="18"/>
  <c r="Y55" i="18"/>
  <c r="X55" i="18"/>
  <c r="X22" i="4" s="1"/>
  <c r="W55" i="18"/>
  <c r="W22" i="4" s="1"/>
  <c r="V55" i="18"/>
  <c r="V22" i="4" s="1"/>
  <c r="U55" i="18"/>
  <c r="T55" i="18"/>
  <c r="T22" i="4" s="1"/>
  <c r="S55" i="18"/>
  <c r="S22" i="4" s="1"/>
  <c r="R55" i="18"/>
  <c r="R22" i="4" s="1"/>
  <c r="Q55" i="18"/>
  <c r="P55" i="18"/>
  <c r="P22" i="4" s="1"/>
  <c r="O55" i="18"/>
  <c r="N55" i="18"/>
  <c r="N22" i="4" s="1"/>
  <c r="M55" i="18"/>
  <c r="M22" i="4" s="1"/>
  <c r="L55" i="18"/>
  <c r="L22" i="4" s="1"/>
  <c r="K55" i="18"/>
  <c r="K22" i="4" s="1"/>
  <c r="J55" i="18"/>
  <c r="I55" i="18"/>
  <c r="I22" i="4" s="1"/>
  <c r="H55" i="18"/>
  <c r="H22" i="4" s="1"/>
  <c r="G55" i="18"/>
  <c r="G22" i="4" s="1"/>
  <c r="F55" i="18"/>
  <c r="E55" i="18"/>
  <c r="D55" i="18"/>
  <c r="D22" i="4" s="1"/>
  <c r="AU54" i="18"/>
  <c r="AU12" i="4" s="1"/>
  <c r="AT54" i="18"/>
  <c r="AT12" i="4" s="1"/>
  <c r="AS54" i="18"/>
  <c r="AS12" i="4" s="1"/>
  <c r="AC54" i="18"/>
  <c r="AC12" i="4" s="1"/>
  <c r="AB54" i="18"/>
  <c r="AB12" i="4" s="1"/>
  <c r="AA54" i="18"/>
  <c r="AA12" i="4" s="1"/>
  <c r="Z54" i="18"/>
  <c r="Z12" i="4" s="1"/>
  <c r="Y54" i="18"/>
  <c r="X54" i="18"/>
  <c r="X12" i="4" s="1"/>
  <c r="W54" i="18"/>
  <c r="W12" i="4" s="1"/>
  <c r="V54" i="18"/>
  <c r="U54" i="18"/>
  <c r="T54" i="18"/>
  <c r="T12" i="4" s="1"/>
  <c r="S54" i="18"/>
  <c r="R54" i="18"/>
  <c r="R12" i="4" s="1"/>
  <c r="Q54" i="18"/>
  <c r="Q12" i="4" s="1"/>
  <c r="P54" i="18"/>
  <c r="P12" i="4" s="1"/>
  <c r="O54" i="18"/>
  <c r="N54" i="18"/>
  <c r="N12" i="4" s="1"/>
  <c r="M54" i="18"/>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Z22" i="4"/>
  <c r="Y22" i="4"/>
  <c r="U22" i="4"/>
  <c r="Q22" i="4"/>
  <c r="O22" i="4"/>
  <c r="J22" i="4"/>
  <c r="F22" i="4"/>
  <c r="E22" i="4"/>
  <c r="Y12" i="4"/>
  <c r="V12" i="4"/>
  <c r="U12" i="4"/>
  <c r="S12" i="4"/>
  <c r="O12" i="4"/>
  <c r="M12" i="4"/>
  <c r="AU5" i="4"/>
  <c r="AT5" i="4"/>
  <c r="AS5" i="4"/>
  <c r="AC5" i="4"/>
  <c r="AB5" i="4"/>
  <c r="AA5" i="4"/>
  <c r="Z5" i="4"/>
  <c r="Y5" i="4"/>
  <c r="X5" i="4"/>
  <c r="W5" i="4"/>
  <c r="V5" i="4"/>
  <c r="U5" i="4"/>
  <c r="T5" i="4"/>
  <c r="S5" i="4"/>
  <c r="R5" i="4"/>
  <c r="Q5" i="4"/>
  <c r="P5" i="4"/>
  <c r="O5" i="4"/>
  <c r="N5" i="4"/>
  <c r="M5" i="4"/>
  <c r="L5" i="4"/>
  <c r="K5" i="4"/>
  <c r="J5" i="4"/>
  <c r="I5" i="4"/>
  <c r="H5" i="4"/>
  <c r="G5" i="4"/>
  <c r="F5" i="4"/>
  <c r="E5" i="4"/>
  <c r="D5" i="4"/>
  <c r="G27" i="10" l="1"/>
  <c r="G31" i="10" s="1"/>
  <c r="G32" i="10" s="1"/>
  <c r="G33" i="10" s="1"/>
  <c r="X47" i="10"/>
  <c r="X50" i="10" s="1"/>
  <c r="T47" i="10"/>
  <c r="T50" i="10" s="1"/>
  <c r="T38" i="10"/>
  <c r="T13" i="10"/>
  <c r="L26" i="10"/>
  <c r="L30" i="10" s="1"/>
  <c r="F12" i="10"/>
  <c r="K12" i="10"/>
  <c r="G26" i="10" l="1"/>
  <c r="G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<sst xmlns="http://schemas.openxmlformats.org/spreadsheetml/2006/main" count="569" uniqueCount="508">
  <si>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</si>
  <si>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</si>
  <si>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</si>
  <si>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</si>
  <si>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</si>
  <si>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</si>
  <si>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</si>
  <si>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</si>
  <si>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</si>
  <si>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</si>
  <si>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</si>
  <si>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</si>
  <si>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</si>
  <si>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</si>
  <si>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</si>
  <si>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</si>
  <si>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</si>
  <si>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</si>
  <si>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</si>
  <si>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</si>
  <si>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</si>
  <si>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</si>
  <si>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</si>
  <si>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</si>
  <si>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</si>
  <si>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</si>
  <si>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</si>
  <si>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</si>
  <si>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</si>
  <si>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</si>
  <si>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</si>
  <si>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</si>
  <si>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</si>
  <si>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</si>
  <si>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</si>
  <si>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</si>
  <si>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</si>
  <si>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</si>
  <si>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</si>
  <si>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</si>
  <si>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</si>
  <si>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</si>
  <si>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</si>
  <si>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</si>
  <si>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</si>
  <si>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</si>
  <si>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</si>
  <si>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</si>
  <si>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</si>
  <si>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</si>
  <si>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</si>
  <si>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</si>
  <si>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</si>
  <si>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</si>
  <si>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</si>
  <si>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</si>
  <si>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</si>
  <si>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</si>
  <si>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</si>
  <si>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</si>
  <si>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</si>
  <si>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</si>
  <si>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</si>
  <si>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</si>
  <si>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</si>
  <si>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</si>
  <si>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</si>
  <si>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</si>
  <si>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</si>
  <si>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</si>
  <si>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</si>
  <si>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</si>
  <si>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</si>
  <si>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</si>
  <si>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</si>
  <si>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</si>
  <si>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</si>
  <si>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</si>
  <si>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</si>
  <si>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</si>
  <si>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</si>
  <si>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</si>
  <si>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</si>
  <si>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</si>
  <si>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</si>
  <si>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</si>
  <si>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</si>
  <si>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</si>
  <si>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</si>
  <si>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</si>
  <si>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</si>
  <si>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</si>
  <si>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</si>
  <si>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</si>
  <si>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</si>
  <si>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</si>
  <si>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</si>
  <si>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</si>
  <si>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</si>
  <si>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</si>
  <si>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</si>
  <si>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</si>
  <si>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</si>
  <si>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</si>
  <si>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</si>
  <si>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</si>
  <si>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</si>
  <si>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</si>
  <si>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</si>
  <si>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</si>
  <si>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</si>
  <si>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</si>
  <si>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</si>
  <si>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</si>
  <si>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</si>
  <si>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</si>
  <si>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</si>
  <si>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</si>
  <si>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</si>
  <si>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</si>
  <si>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</si>
  <si>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</si>
  <si>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</si>
  <si>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</si>
  <si>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</si>
  <si>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</si>
  <si>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</si>
  <si>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</si>
  <si>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</si>
  <si>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</si>
  <si>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</si>
  <si>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</si>
  <si>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</si>
  <si>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</si>
  <si>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</si>
  <si>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</si>
  <si>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</si>
  <si>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</si>
  <si>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</si>
  <si>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</si>
  <si>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</si>
  <si>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</si>
  <si>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</si>
  <si>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</si>
  <si>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</si>
  <si>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</si>
  <si>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</si>
  <si>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</si>
  <si>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</si>
  <si>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</si>
  <si>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</si>
  <si>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</si>
  <si>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</si>
  <si>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</si>
  <si>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</si>
  <si>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</si>
  <si>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</si>
  <si>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</si>
  <si>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</si>
  <si>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</si>
  <si>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</si>
  <si>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</si>
  <si>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</si>
  <si>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</si>
  <si>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</si>
  <si>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</si>
  <si>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</si>
  <si>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</si>
  <si>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</si>
  <si>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</si>
  <si>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</si>
  <si>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</si>
  <si>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</si>
  <si>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</si>
  <si>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</si>
  <si>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</si>
  <si>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</si>
  <si>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</si>
  <si>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</si>
  <si>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</si>
  <si>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</si>
  <si>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</si>
  <si>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</si>
  <si>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</si>
  <si>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</si>
  <si>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</si>
  <si>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</si>
  <si>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</si>
  <si>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</si>
  <si>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</si>
  <si>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</si>
  <si>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</si>
  <si>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</si>
  <si>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</si>
  <si>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</si>
  <si>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</si>
  <si>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</si>
  <si>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</si>
  <si>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</si>
  <si>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</si>
  <si>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</si>
  <si>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</si>
  <si>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</si>
  <si>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</si>
  <si>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</si>
  <si>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</si>
  <si>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</si>
  <si>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</si>
  <si>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</si>
  <si>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</si>
  <si>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</si>
  <si>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</si>
  <si>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</si>
  <si>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</si>
  <si>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</si>
  <si>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</si>
  <si>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</si>
  <si>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</si>
  <si>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</si>
  <si>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</si>
  <si>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</si>
  <si>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</si>
  <si>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</si>
  <si>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</si>
  <si>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</si>
  <si>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</si>
  <si>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</si>
  <si>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</si>
  <si>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</si>
  <si>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</si>
  <si>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</si>
  <si>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</si>
  <si>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</si>
  <si>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</si>
  <si>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</si>
  <si>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</si>
  <si>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</si>
  <si>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</si>
  <si>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</si>
  <si>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</si>
  <si>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</si>
  <si>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</si>
  <si>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</si>
  <si>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</si>
  <si>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</si>
  <si>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</si>
  <si>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</si>
  <si>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</si>
  <si>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</si>
  <si>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</si>
  <si>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</si>
  <si>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</si>
  <si>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</si>
  <si>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</si>
  <si>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</si>
  <si>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</si>
  <si>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</si>
  <si>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</si>
  <si>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</si>
  <si>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</si>
  <si>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</si>
  <si>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</si>
  <si>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</si>
  <si>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</si>
  <si>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</si>
  <si>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</si>
  <si>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</si>
  <si>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</si>
  <si>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</si>
  <si>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</si>
  <si>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</si>
  <si>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</si>
  <si>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</si>
  <si>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</si>
  <si>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</si>
  <si>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</si>
  <si>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</si>
  <si>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</si>
  <si>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</si>
  <si>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</si>
  <si>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</si>
  <si>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</si>
  <si>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</si>
  <si>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</si>
  <si>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</si>
  <si>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</si>
  <si>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</si>
  <si>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</si>
  <si>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</si>
  <si>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</si>
  <si>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</si>
  <si>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</si>
  <si>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</si>
  <si>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</si>
  <si>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</si>
  <si>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</si>
  <si>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</si>
  <si>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</si>
  <si>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</si>
  <si>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</si>
  <si>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</si>
  <si>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</si>
  <si>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</si>
  <si>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</si>
  <si>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</si>
  <si>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</si>
  <si>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</si>
  <si>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</si>
  <si>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</si>
  <si>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</si>
  <si>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</si>
  <si>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</si>
  <si>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</si>
  <si>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</si>
  <si>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</si>
  <si>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</si>
  <si>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</si>
  <si>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</si>
  <si>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</si>
  <si>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</si>
  <si>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</si>
  <si>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</si>
  <si>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</si>
  <si>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</si>
  <si>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</si>
  <si>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</si>
  <si>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</si>
  <si>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</si>
  <si>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</si>
  <si>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</si>
  <si>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</si>
  <si>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</si>
  <si>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</si>
  <si>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</si>
  <si>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</si>
  <si>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</si>
  <si>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</si>
  <si>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</si>
  <si>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</si>
  <si>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</si>
  <si>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</si>
  <si>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</si>
  <si>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</si>
  <si>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</si>
  <si>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</si>
  <si>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</si>
  <si>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</si>
  <si>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</si>
  <si>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</si>
  <si>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</si>
  <si>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</si>
  <si>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</si>
  <si>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</si>
  <si>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</si>
  <si>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</si>
  <si>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</si>
  <si>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</si>
  <si>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</si>
  <si>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</si>
  <si>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</si>
  <si>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</si>
  <si>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</si>
  <si>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</si>
  <si>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</si>
  <si>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</si>
  <si>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</si>
  <si>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</si>
  <si>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</si>
  <si>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</si>
  <si>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</si>
  <si>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</si>
  <si>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</si>
  <si>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</si>
  <si>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</si>
  <si>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</si>
  <si>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</si>
  <si>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</si>
  <si>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</si>
  <si>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</si>
  <si>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</si>
  <si>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</si>
  <si>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</si>
  <si>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</si>
  <si>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</si>
  <si>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</si>
  <si>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</si>
  <si>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</si>
  <si>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</si>
  <si>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</si>
  <si>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</si>
  <si>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</si>
  <si>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</si>
  <si>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</si>
  <si>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</si>
  <si>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</si>
  <si>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</si>
  <si>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</si>
  <si>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</si>
  <si>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</si>
  <si>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</si>
  <si>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</si>
  <si>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</si>
  <si>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</si>
  <si>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</si>
  <si>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</si>
  <si>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</si>
  <si>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</si>
  <si>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</si>
  <si>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</si>
  <si>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</si>
  <si>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</si>
  <si>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</si>
  <si>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</si>
  <si>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</si>
  <si>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</si>
  <si>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</si>
  <si>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</si>
  <si>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</si>
  <si>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</si>
  <si>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</si>
  <si>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</si>
  <si>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</si>
  <si>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</si>
  <si>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</si>
  <si>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</si>
  <si>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</si>
  <si>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</si>
  <si>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</si>
  <si>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</si>
  <si>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</si>
  <si>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</si>
  <si>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</si>
  <si>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</si>
  <si>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</si>
  <si>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</si>
  <si>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</si>
  <si>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</si>
  <si>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</si>
  <si>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</si>
  <si>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</si>
  <si>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</si>
  <si>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</si>
  <si>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</si>
  <si>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</si>
  <si>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</si>
  <si>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</si>
  <si>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</si>
  <si>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</si>
  <si>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</si>
  <si>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</si>
  <si>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</si>
  <si>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</si>
  <si>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</si>
  <si>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</si>
  <si>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</si>
  <si>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</si>
  <si>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</si>
  <si>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</si>
  <si>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</si>
  <si>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</si>
  <si>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</si>
  <si>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</si>
  <si>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</si>
  <si>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</si>
  <si>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</si>
  <si>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</si>
  <si>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</si>
  <si>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</si>
  <si>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</si>
  <si>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</si>
  <si>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</si>
  <si>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</si>
  <si>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</si>
  <si>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</si>
  <si>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</si>
  <si>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</si>
  <si>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</si>
  <si>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</si>
  <si>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</si>
  <si>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</si>
  <si>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</si>
  <si>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</si>
  <si>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</si>
  <si>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</si>
  <si>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</si>
  <si>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</si>
  <si>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</si>
  <si>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</si>
  <si>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</si>
  <si>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</si>
  <si>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</si>
  <si>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</si>
  <si>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</si>
  <si>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</si>
  <si>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</si>
  <si>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</si>
  <si>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</si>
  <si>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</si>
  <si>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</si>
  <si>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</si>
  <si>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</si>
  <si>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</si>
  <si>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</si>
  <si>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68744</t>
  </si>
  <si>
    <t>219</t>
  </si>
  <si>
    <t>LINCOLN NATIONAL LIFE INSURANCE CO</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</si>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</sst>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504</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t="s">
        <v>502</v>
      </c>
    </row>
    <row r="10" spans="1:6" x14ac:dyDescent="0.2">
      <c r="B10" s="239" t="s">
        <v>58</v>
      </c>
      <c r="C10" s="385" t="s">
        <v>496</v>
      </c>
    </row>
    <row r="11" spans="1:6" x14ac:dyDescent="0.2">
      <c r="B11" s="239" t="s">
        <v>355</v>
      </c>
      <c r="C11" s="385" t="s">
        <v>503</v>
      </c>
    </row>
    <row r="12" spans="1:6" x14ac:dyDescent="0.2">
      <c r="B12" s="239" t="s">
        <v>35</v>
      </c>
      <c r="C12" s="385" t="s">
        <v>139</v>
      </c>
    </row>
    <row r="13" spans="1:6" x14ac:dyDescent="0.2">
      <c r="B13" s="239" t="s">
        <v>50</v>
      </c>
      <c r="C13" s="385" t="s">
        <v>192</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f>SUM('Pt 2 Premium and Claims'!D$5,'Pt 2 Premium and Claims'!D$6,-'Pt 2 Premium and Claims'!D$7,-'Pt 2 Premium and Claims'!D$13,'Pt 2 Premium and Claims'!D$14:'Pt 2 Premium and Claims'!D$17)</f>
        <v>0</v>
      </c>
      <c r="E5" s="113">
        <f>SUM('Pt 2 Premium and Claims'!E$5,'Pt 2 Premium and Claims'!E$6,-'Pt 2 Premium and Claims'!E$7,-'Pt 2 Premium and Claims'!E$13,'Pt 2 Premium and Claims'!E$14:'Pt 2 Premium and Claims'!E$17)</f>
        <v>0</v>
      </c>
      <c r="F5" s="113">
        <f>SUM('Pt 2 Premium and Claims'!F$5,'Pt 2 Premium and Claims'!F$6,-'Pt 2 Premium and Claims'!F$7,-'Pt 2 Premium and Claims'!F$13,'Pt 2 Premium and Claims'!F$14:'Pt 2 Premium and Claims'!F$17)</f>
        <v>0</v>
      </c>
      <c r="G5" s="113">
        <f>SUM('Pt 2 Premium and Claims'!G$5,'Pt 2 Premium and Claims'!G$6,-'Pt 2 Premium and Claims'!G$7,-'Pt 2 Premium and Claims'!G$13,'Pt 2 Premium and Claims'!G$14:'Pt 2 Premium and Claims'!G$17)</f>
        <v>0</v>
      </c>
      <c r="H5" s="113">
        <f>SUM('Pt 2 Premium and Claims'!H$5,'Pt 2 Premium and Claims'!H$6,-'Pt 2 Premium and Claims'!H$7,-'Pt 2 Premium and Claims'!H$13,'Pt 2 Premium and Claims'!H$14:'Pt 2 Premium and Claims'!H$17)</f>
        <v>0</v>
      </c>
      <c r="I5" s="112">
        <f>SUM('Pt 2 Premium and Claims'!I$5,'Pt 2 Premium and Claims'!I$6,-'Pt 2 Premium and Claims'!I$7,-'Pt 2 Premium and Claims'!I$13,'Pt 2 Premium and Claims'!I$14:'Pt 2 Premium and Claims'!I$16)</f>
        <v>0</v>
      </c>
      <c r="J5" s="112">
        <f>SUM('Pt 2 Premium and Claims'!J$5,'Pt 2 Premium and Claims'!J$6,-'Pt 2 Premium and Claims'!J$7,-'Pt 2 Premium and Claims'!J$13,'Pt 2 Premium and Claims'!J$14,'Pt 2 Premium and Claims'!J$16:'Pt 2 Premium and Claims'!J$17)</f>
        <v>1782976</v>
      </c>
      <c r="K5" s="113">
        <f>SUM('Pt 2 Premium and Claims'!K$5,'Pt 2 Premium and Claims'!K$6,-'Pt 2 Premium and Claims'!K$7,-'Pt 2 Premium and Claims'!K$13,'Pt 2 Premium and Claims'!K$14,'Pt 2 Premium and Claims'!K$16:'Pt 2 Premium and Claims'!K$17)</f>
        <v>1788261.79</v>
      </c>
      <c r="L5" s="113">
        <f>SUM('Pt 2 Premium and Claims'!L$5,'Pt 2 Premium and Claims'!L$6,-'Pt 2 Premium and Claims'!L$7,-'Pt 2 Premium and Claims'!L$13,'Pt 2 Premium and Claims'!L$14,'Pt 2 Premium and Claims'!L$16:'Pt 2 Premium and Claims'!L$17)</f>
        <v>0</v>
      </c>
      <c r="M5" s="113">
        <f>SUM('Pt 2 Premium and Claims'!M$5,'Pt 2 Premium and Claims'!M$6,-'Pt 2 Premium and Claims'!M$7,-'Pt 2 Premium and Claims'!M$13,'Pt 2 Premium and Claims'!M$14,'Pt 2 Premium and Claims'!M$16:'Pt 2 Premium and Claims'!M$17)</f>
        <v>0</v>
      </c>
      <c r="N5" s="113">
        <f>SUM('Pt 2 Premium and Claims'!N$5,'Pt 2 Premium and Claims'!N$6,-'Pt 2 Premium and Claims'!N$7,-'Pt 2 Premium and Claims'!N$13,'Pt 2 Premium and Claims'!N$14,'Pt 2 Premium and Claims'!N$16:'Pt 2 Premium and Claims'!N$17)</f>
        <v>0</v>
      </c>
      <c r="O5" s="112">
        <f>SUM('Pt 2 Premium and Claims'!O$5,'Pt 2 Premium and Claims'!O$6,-'Pt 2 Premium and Claims'!O$7,-'Pt 2 Premium and Claims'!O$13,'Pt 2 Premium and Claims'!O$14,'Pt 2 Premium and Claims'!O$16)</f>
        <v>0</v>
      </c>
      <c r="P5" s="112">
        <f>SUM('Pt 2 Premium and Claims'!P$5,'Pt 2 Premium and Claims'!P$6,-'Pt 2 Premium and Claims'!P$7,-'Pt 2 Premium and Claims'!P$13,'Pt 2 Premium and Claims'!P$14)</f>
        <v>0</v>
      </c>
      <c r="Q5" s="113">
        <f>SUM('Pt 2 Premium and Claims'!Q$5,'Pt 2 Premium and Claims'!Q$6,-'Pt 2 Premium and Claims'!Q$7,-'Pt 2 Premium and Claims'!Q$13,'Pt 2 Premium and Claims'!Q$14)</f>
        <v>0</v>
      </c>
      <c r="R5" s="113">
        <f>SUM('Pt 2 Premium and Claims'!R$5,'Pt 2 Premium and Claims'!R$6,-'Pt 2 Premium and Claims'!R$7,-'Pt 2 Premium and Claims'!R$13,'Pt 2 Premium and Claims'!R$14)</f>
        <v>0</v>
      </c>
      <c r="S5" s="113">
        <f>SUM('Pt 2 Premium and Claims'!S$5,'Pt 2 Premium and Claims'!S$6,-'Pt 2 Premium and Claims'!S$7,-'Pt 2 Premium and Claims'!S$13,'Pt 2 Premium and Claims'!S$14)</f>
        <v>0</v>
      </c>
      <c r="T5" s="113">
        <f>SUM('Pt 2 Premium and Claims'!T$5,'Pt 2 Premium and Claims'!T$6,-'Pt 2 Premium and Claims'!T$7,-'Pt 2 Premium and Claims'!T$13,'Pt 2 Premium and Claims'!T$14)</f>
        <v>0</v>
      </c>
      <c r="U5" s="112">
        <f>SUM('Pt 2 Premium and Claims'!U$5,'Pt 2 Premium and Claims'!U$6,-'Pt 2 Premium and Claims'!U$7,-'Pt 2 Premium and Claims'!U$13,'Pt 2 Premium and Claims'!U$14)</f>
        <v>0</v>
      </c>
      <c r="V5" s="113">
        <f>SUM('Pt 2 Premium and Claims'!V$5,'Pt 2 Premium and Claims'!V$6,-'Pt 2 Premium and Claims'!V$7,-'Pt 2 Premium and Claims'!V$13,'Pt 2 Premium and Claims'!V$14)</f>
        <v>0</v>
      </c>
      <c r="W5" s="113">
        <f>SUM('Pt 2 Premium and Claims'!W$5,'Pt 2 Premium and Claims'!W$6,-'Pt 2 Premium and Claims'!W$7,-'Pt 2 Premium and Claims'!W$13,'Pt 2 Premium and Claims'!W$14)</f>
        <v>0</v>
      </c>
      <c r="X5" s="112">
        <f>SUM('Pt 2 Premium and Claims'!X$5,'Pt 2 Premium and Claims'!X$6,-'Pt 2 Premium and Claims'!X$7,-'Pt 2 Premium and Claims'!X$13,'Pt 2 Premium and Claims'!X$14)</f>
        <v>0</v>
      </c>
      <c r="Y5" s="113">
        <f>SUM('Pt 2 Premium and Claims'!Y$5,'Pt 2 Premium and Claims'!Y$6,-'Pt 2 Premium and Claims'!Y$7,-'Pt 2 Premium and Claims'!Y$13,'Pt 2 Premium and Claims'!Y$14)</f>
        <v>0</v>
      </c>
      <c r="Z5" s="113">
        <f>SUM('Pt 2 Premium and Claims'!Z$5,'Pt 2 Premium and Claims'!Z$6,-'Pt 2 Premium and Claims'!Z$7,-'Pt 2 Premium and Claims'!Z$13,'Pt 2 Premium and Claims'!Z$14)</f>
        <v>0</v>
      </c>
      <c r="AA5" s="112">
        <f>SUM('Pt 2 Premium and Claims'!AA$5,'Pt 2 Premium and Claims'!AA$6,-'Pt 2 Premium and Claims'!AA$7,-'Pt 2 Premium and Claims'!AA$13,'Pt 2 Premium and Claims'!AA$14)</f>
        <v>0</v>
      </c>
      <c r="AB5" s="113">
        <f>SUM('Pt 2 Premium and Claims'!AB$5,'Pt 2 Premium and Claims'!AB$6,-'Pt 2 Premium and Claims'!AB$7,-'Pt 2 Premium and Claims'!AB$13,'Pt 2 Premium and Claims'!AB$14)</f>
        <v>0</v>
      </c>
      <c r="AC5" s="113">
        <f>SUM('Pt 2 Premium and Claims'!AC$5,'Pt 2 Premium and Claims'!AC$6,-'Pt 2 Premium and Claims'!AC$7,-'Pt 2 Premium and Claims'!AC$13,'Pt 2 Premium and Claims'!AC$14)</f>
        <v>0</v>
      </c>
      <c r="AD5" s="112"/>
      <c r="AE5" s="302"/>
      <c r="AF5" s="302"/>
      <c r="AG5" s="302"/>
      <c r="AH5" s="303"/>
      <c r="AI5" s="112"/>
      <c r="AJ5" s="302"/>
      <c r="AK5" s="302"/>
      <c r="AL5" s="302"/>
      <c r="AM5" s="303"/>
      <c r="AN5" s="112"/>
      <c r="AO5" s="113"/>
      <c r="AP5" s="113"/>
      <c r="AQ5" s="113"/>
      <c r="AR5" s="113"/>
      <c r="AS5" s="112">
        <f>SUM('Pt 2 Premium and Claims'!AS$5,'Pt 2 Premium and Claims'!AS$6,-'Pt 2 Premium and Claims'!AS$7,-'Pt 2 Premium and Claims'!AS$13,'Pt 2 Premium and Claims'!AS$14)</f>
        <v>315817048</v>
      </c>
      <c r="AT5" s="114">
        <f>SUM('Pt 2 Premium and Claims'!AT$5,'Pt 2 Premium and Claims'!AT$6,-'Pt 2 Premium and Claims'!AT$7,-'Pt 2 Premium and Claims'!AT$13,'Pt 2 Premium and Claims'!AT$14)</f>
        <v>19256703</v>
      </c>
      <c r="AU5" s="114">
        <f>SUM('Pt 2 Premium and Claims'!AU$5,'Pt 2 Premium and Claims'!AU$6,-'Pt 2 Premium and Claims'!AU$7,-'Pt 2 Premium and Claims'!AU$13,'Pt 2 Premium and Claims'!AU$14)</f>
        <v>0</v>
      </c>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v>-3658</v>
      </c>
      <c r="K7" s="117">
        <v>-3658</v>
      </c>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c r="E8" s="296"/>
      <c r="F8" s="297"/>
      <c r="G8" s="297"/>
      <c r="H8" s="297"/>
      <c r="I8" s="300"/>
      <c r="J8" s="116">
        <v>-654</v>
      </c>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v>108617</v>
      </c>
      <c r="AT8" s="120">
        <v>-62746</v>
      </c>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f>'Pt 2 Premium and Claims'!D$54</f>
        <v>0</v>
      </c>
      <c r="E12" s="113">
        <f>'Pt 2 Premium and Claims'!E$54</f>
        <v>0</v>
      </c>
      <c r="F12" s="113">
        <f>'Pt 2 Premium and Claims'!F$54</f>
        <v>0</v>
      </c>
      <c r="G12" s="113">
        <f>'Pt 2 Premium and Claims'!G$54</f>
        <v>0</v>
      </c>
      <c r="H12" s="113">
        <f>'Pt 2 Premium and Claims'!H$54</f>
        <v>0</v>
      </c>
      <c r="I12" s="112">
        <f>'Pt 2 Premium and Claims'!I$54</f>
        <v>0</v>
      </c>
      <c r="J12" s="112">
        <f>'Pt 2 Premium and Claims'!J$54</f>
        <v>1122119</v>
      </c>
      <c r="K12" s="113">
        <f>'Pt 2 Premium and Claims'!K$54</f>
        <v>1108870.8879679742</v>
      </c>
      <c r="L12" s="113">
        <f>'Pt 2 Premium and Claims'!L$54</f>
        <v>0</v>
      </c>
      <c r="M12" s="113">
        <f>'Pt 2 Premium and Claims'!M$54</f>
        <v>0</v>
      </c>
      <c r="N12" s="113">
        <f>'Pt 2 Premium and Claims'!N$54</f>
        <v>0</v>
      </c>
      <c r="O12" s="112">
        <f>'Pt 2 Premium and Claims'!O$54</f>
        <v>0</v>
      </c>
      <c r="P12" s="112">
        <f>'Pt 2 Premium and Claims'!P$54</f>
        <v>0</v>
      </c>
      <c r="Q12" s="113">
        <f>'Pt 2 Premium and Claims'!Q$54</f>
        <v>-10884.558267974</v>
      </c>
      <c r="R12" s="113">
        <f>'Pt 2 Premium and Claims'!R$54</f>
        <v>0</v>
      </c>
      <c r="S12" s="113">
        <f>'Pt 2 Premium and Claims'!S$54</f>
        <v>0</v>
      </c>
      <c r="T12" s="113">
        <f>'Pt 2 Premium and Claims'!T$54</f>
        <v>0</v>
      </c>
      <c r="U12" s="112">
        <f>'Pt 2 Premium and Claims'!U$54</f>
        <v>0</v>
      </c>
      <c r="V12" s="113">
        <f>'Pt 2 Premium and Claims'!V$54</f>
        <v>0</v>
      </c>
      <c r="W12" s="113">
        <f>'Pt 2 Premium and Claims'!W$54</f>
        <v>0</v>
      </c>
      <c r="X12" s="112">
        <f>'Pt 2 Premium and Claims'!X$54</f>
        <v>0</v>
      </c>
      <c r="Y12" s="113">
        <f>'Pt 2 Premium and Claims'!Y$54</f>
        <v>0</v>
      </c>
      <c r="Z12" s="113">
        <f>'Pt 2 Premium and Claims'!Z$54</f>
        <v>0</v>
      </c>
      <c r="AA12" s="112">
        <f>'Pt 2 Premium and Claims'!AA$54</f>
        <v>0</v>
      </c>
      <c r="AB12" s="113">
        <f>'Pt 2 Premium and Claims'!AB$54</f>
        <v>0</v>
      </c>
      <c r="AC12" s="113">
        <f>'Pt 2 Premium and Claims'!AC$54</f>
        <v>0</v>
      </c>
      <c r="AD12" s="112"/>
      <c r="AE12" s="302"/>
      <c r="AF12" s="302"/>
      <c r="AG12" s="302"/>
      <c r="AH12" s="303"/>
      <c r="AI12" s="112"/>
      <c r="AJ12" s="302"/>
      <c r="AK12" s="302"/>
      <c r="AL12" s="302"/>
      <c r="AM12" s="303"/>
      <c r="AN12" s="112"/>
      <c r="AO12" s="113"/>
      <c r="AP12" s="113"/>
      <c r="AQ12" s="113"/>
      <c r="AR12" s="113"/>
      <c r="AS12" s="112">
        <f>'Pt 2 Premium and Claims'!AS$54</f>
        <v>246193557</v>
      </c>
      <c r="AT12" s="114">
        <f>'Pt 2 Premium and Claims'!AT$54</f>
        <v>14059054</v>
      </c>
      <c r="AU12" s="114">
        <f>'Pt 2 Premium and Claims'!AU$54</f>
        <v>0</v>
      </c>
      <c r="AV12" s="319"/>
      <c r="AW12" s="324"/>
    </row>
    <row r="13" spans="1:49" ht="25.5" x14ac:dyDescent="0.2">
      <c r="B13" s="162" t="s">
        <v>230</v>
      </c>
      <c r="C13" s="69" t="s">
        <v>37</v>
      </c>
      <c r="D13" s="116"/>
      <c r="E13" s="117"/>
      <c r="F13" s="117"/>
      <c r="G13" s="296"/>
      <c r="H13" s="297"/>
      <c r="I13" s="116"/>
      <c r="J13" s="116">
        <v>62297</v>
      </c>
      <c r="K13" s="117">
        <v>62436.270000000004</v>
      </c>
      <c r="L13" s="117"/>
      <c r="M13" s="296"/>
      <c r="N13" s="297"/>
      <c r="O13" s="116"/>
      <c r="P13" s="116"/>
      <c r="Q13" s="117">
        <v>-21.39</v>
      </c>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v>394219804</v>
      </c>
      <c r="AT13" s="120">
        <v>770</v>
      </c>
      <c r="AU13" s="120"/>
      <c r="AV13" s="318"/>
      <c r="AW13" s="325"/>
    </row>
    <row r="14" spans="1:49" ht="25.5" x14ac:dyDescent="0.2">
      <c r="B14" s="162" t="s">
        <v>231</v>
      </c>
      <c r="C14" s="69" t="s">
        <v>6</v>
      </c>
      <c r="D14" s="116"/>
      <c r="E14" s="117"/>
      <c r="F14" s="117"/>
      <c r="G14" s="295"/>
      <c r="H14" s="298"/>
      <c r="I14" s="116"/>
      <c r="J14" s="116">
        <v>9577</v>
      </c>
      <c r="K14" s="117">
        <v>9635.67</v>
      </c>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v>130006203</v>
      </c>
      <c r="AT14" s="120">
        <v>491</v>
      </c>
      <c r="AU14" s="120"/>
      <c r="AV14" s="318"/>
      <c r="AW14" s="325"/>
    </row>
    <row r="15" spans="1:49" ht="38.25" x14ac:dyDescent="0.2">
      <c r="B15" s="162" t="s">
        <v>232</v>
      </c>
      <c r="C15" s="69" t="s">
        <v>7</v>
      </c>
      <c r="D15" s="116"/>
      <c r="E15" s="117"/>
      <c r="F15" s="117"/>
      <c r="G15" s="295"/>
      <c r="H15" s="301"/>
      <c r="I15" s="116"/>
      <c r="J15" s="116">
        <v>58</v>
      </c>
      <c r="K15" s="117">
        <v>58</v>
      </c>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v>8992</v>
      </c>
      <c r="AT15" s="120">
        <v>685</v>
      </c>
      <c r="AU15" s="120"/>
      <c r="AV15" s="318"/>
      <c r="AW15" s="325"/>
    </row>
    <row r="16" spans="1:49" ht="25.5" x14ac:dyDescent="0.2">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v>422210</v>
      </c>
      <c r="AT16" s="120">
        <v>-270938</v>
      </c>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-300825</v>
      </c>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f>'Pt 2 Premium and Claims'!D$55</f>
        <v>0</v>
      </c>
      <c r="E22" s="122">
        <f>'Pt 2 Premium and Claims'!E$55</f>
        <v>0</v>
      </c>
      <c r="F22" s="122">
        <f>'Pt 2 Premium and Claims'!F$55</f>
        <v>0</v>
      </c>
      <c r="G22" s="122">
        <f>'Pt 2 Premium and Claims'!G$55</f>
        <v>0</v>
      </c>
      <c r="H22" s="122">
        <f>'Pt 2 Premium and Claims'!H$55</f>
        <v>0</v>
      </c>
      <c r="I22" s="121">
        <f>'Pt 2 Premium and Claims'!I$55</f>
        <v>0</v>
      </c>
      <c r="J22" s="121">
        <f>'Pt 2 Premium and Claims'!J$55</f>
        <v>137</v>
      </c>
      <c r="K22" s="122">
        <f>'Pt 2 Premium and Claims'!K$55</f>
        <v>137</v>
      </c>
      <c r="L22" s="122">
        <f>'Pt 2 Premium and Claims'!L$55</f>
        <v>0</v>
      </c>
      <c r="M22" s="122">
        <f>'Pt 2 Premium and Claims'!M$55</f>
        <v>0</v>
      </c>
      <c r="N22" s="122">
        <f>'Pt 2 Premium and Claims'!N$55</f>
        <v>0</v>
      </c>
      <c r="O22" s="121">
        <f>'Pt 2 Premium and Claims'!O$55</f>
        <v>0</v>
      </c>
      <c r="P22" s="121">
        <f>'Pt 2 Premium and Claims'!P$55</f>
        <v>0</v>
      </c>
      <c r="Q22" s="122">
        <f>'Pt 2 Premium and Claims'!Q$55</f>
        <v>0</v>
      </c>
      <c r="R22" s="122">
        <f>'Pt 2 Premium and Claims'!R$55</f>
        <v>0</v>
      </c>
      <c r="S22" s="122">
        <f>'Pt 2 Premium and Claims'!S$55</f>
        <v>0</v>
      </c>
      <c r="T22" s="122">
        <f>'Pt 2 Premium and Claims'!T$55</f>
        <v>0</v>
      </c>
      <c r="U22" s="121">
        <f>'Pt 2 Premium and Claims'!U$55</f>
        <v>0</v>
      </c>
      <c r="V22" s="122">
        <f>'Pt 2 Premium and Claims'!V$55</f>
        <v>0</v>
      </c>
      <c r="W22" s="122">
        <f>'Pt 2 Premium and Claims'!W$55</f>
        <v>0</v>
      </c>
      <c r="X22" s="121">
        <f>'Pt 2 Premium and Claims'!X$55</f>
        <v>0</v>
      </c>
      <c r="Y22" s="122">
        <f>'Pt 2 Premium and Claims'!Y$55</f>
        <v>0</v>
      </c>
      <c r="Z22" s="122">
        <f>'Pt 2 Premium and Claims'!Z$55</f>
        <v>0</v>
      </c>
      <c r="AA22" s="121">
        <f>'Pt 2 Premium and Claims'!AA$55</f>
        <v>0</v>
      </c>
      <c r="AB22" s="122">
        <f>'Pt 2 Premium and Claims'!AB$55</f>
        <v>0</v>
      </c>
      <c r="AC22" s="122">
        <f>'Pt 2 Premium and Claims'!AC$55</f>
        <v>0</v>
      </c>
      <c r="AD22" s="121"/>
      <c r="AE22" s="298"/>
      <c r="AF22" s="298"/>
      <c r="AG22" s="298"/>
      <c r="AH22" s="298"/>
      <c r="AI22" s="121"/>
      <c r="AJ22" s="298"/>
      <c r="AK22" s="298"/>
      <c r="AL22" s="298"/>
      <c r="AM22" s="298"/>
      <c r="AN22" s="121"/>
      <c r="AO22" s="122"/>
      <c r="AP22" s="122"/>
      <c r="AQ22" s="122"/>
      <c r="AR22" s="122"/>
      <c r="AS22" s="121">
        <f>'Pt 2 Premium and Claims'!AS$55</f>
        <v>0</v>
      </c>
      <c r="AT22" s="123">
        <f>'Pt 2 Premium and Claims'!AT$55</f>
        <v>0</v>
      </c>
      <c r="AU22" s="123">
        <f>'Pt 2 Premium and Claims'!AU$55</f>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v>79010.412330000006</v>
      </c>
      <c r="K25" s="117">
        <v>79010.412330000006</v>
      </c>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v>5686112.2149999999</v>
      </c>
      <c r="AT25" s="120">
        <v>-186472.66329999999</v>
      </c>
      <c r="AU25" s="120"/>
      <c r="AV25" s="120"/>
      <c r="AW25" s="325"/>
    </row>
    <row r="26" spans="1:49" s="12" customFormat="1" x14ac:dyDescent="0.2">
      <c r="A26" s="42"/>
      <c r="B26" s="165" t="s">
        <v>243</v>
      </c>
      <c r="C26" s="69"/>
      <c r="D26" s="116"/>
      <c r="E26" s="117"/>
      <c r="F26" s="117"/>
      <c r="G26" s="117"/>
      <c r="H26" s="117"/>
      <c r="I26" s="116"/>
      <c r="J26" s="116"/>
      <c r="K26" s="117">
        <v>192.2</v>
      </c>
      <c r="L26" s="117"/>
      <c r="M26" s="117"/>
      <c r="N26" s="117"/>
      <c r="O26" s="116"/>
      <c r="P26" s="116"/>
      <c r="Q26" s="117">
        <v>0.13</v>
      </c>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c r="E27" s="117"/>
      <c r="F27" s="117"/>
      <c r="G27" s="117"/>
      <c r="H27" s="117"/>
      <c r="I27" s="116"/>
      <c r="J27" s="116">
        <v>22130.55</v>
      </c>
      <c r="K27" s="117">
        <v>22130.55</v>
      </c>
      <c r="L27" s="117"/>
      <c r="M27" s="117"/>
      <c r="N27" s="117"/>
      <c r="O27" s="116"/>
      <c r="P27" s="116">
        <v>-0.12999999999999545</v>
      </c>
      <c r="Q27" s="117">
        <v>-0.12999999999999545</v>
      </c>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v>4159602.8699999996</v>
      </c>
      <c r="AT27" s="120">
        <v>42897.8</v>
      </c>
      <c r="AU27" s="120"/>
      <c r="AV27" s="321"/>
      <c r="AW27" s="325"/>
    </row>
    <row r="28" spans="1:49" s="12" customFormat="1" x14ac:dyDescent="0.2">
      <c r="A28" s="42"/>
      <c r="B28" s="165" t="s">
        <v>245</v>
      </c>
      <c r="C28" s="69"/>
      <c r="D28" s="116"/>
      <c r="E28" s="117"/>
      <c r="F28" s="117"/>
      <c r="G28" s="117"/>
      <c r="H28" s="117"/>
      <c r="I28" s="116"/>
      <c r="J28" s="116">
        <v>5615.95</v>
      </c>
      <c r="K28" s="117">
        <v>5424.72</v>
      </c>
      <c r="L28" s="117"/>
      <c r="M28" s="117"/>
      <c r="N28" s="117"/>
      <c r="O28" s="116"/>
      <c r="P28" s="116">
        <v>0.13</v>
      </c>
      <c r="Q28" s="117">
        <v>0.01</v>
      </c>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v>29581.199999999997</v>
      </c>
      <c r="AT28" s="120">
        <v>2805.76</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v>6000.0312530000037</v>
      </c>
      <c r="K30" s="117">
        <v>6556.751253000004</v>
      </c>
      <c r="L30" s="117"/>
      <c r="M30" s="117"/>
      <c r="N30" s="117"/>
      <c r="O30" s="116"/>
      <c r="P30" s="116">
        <v>-6.9999999999999993E-2</v>
      </c>
      <c r="Q30" s="117">
        <v>-6.9999999999999993E-2</v>
      </c>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v>478723.40319999994</v>
      </c>
      <c r="AT30" s="120">
        <v>-5818.0715599999985</v>
      </c>
      <c r="AU30" s="120"/>
      <c r="AV30" s="120"/>
      <c r="AW30" s="325"/>
    </row>
    <row r="31" spans="1:49" x14ac:dyDescent="0.2">
      <c r="B31" s="165" t="s">
        <v>248</v>
      </c>
      <c r="C31" s="69"/>
      <c r="D31" s="116"/>
      <c r="E31" s="117"/>
      <c r="F31" s="117"/>
      <c r="G31" s="117"/>
      <c r="H31" s="117"/>
      <c r="I31" s="116"/>
      <c r="J31" s="116">
        <v>43718.25</v>
      </c>
      <c r="K31" s="117">
        <v>43718.25</v>
      </c>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v>3391.84</v>
      </c>
      <c r="AT31" s="120">
        <v>458478.95999999996</v>
      </c>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c r="E34" s="117"/>
      <c r="F34" s="117"/>
      <c r="G34" s="117"/>
      <c r="H34" s="117"/>
      <c r="I34" s="116"/>
      <c r="J34" s="116"/>
      <c r="K34" s="117">
        <v>5253.6</v>
      </c>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v>1514.67</v>
      </c>
      <c r="K35" s="117">
        <v>1520.3500000000001</v>
      </c>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v>266300.42</v>
      </c>
      <c r="AT35" s="120">
        <v>25737.66</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c r="E37" s="125"/>
      <c r="F37" s="125"/>
      <c r="G37" s="125"/>
      <c r="H37" s="125"/>
      <c r="I37" s="124"/>
      <c r="J37" s="124">
        <v>1229</v>
      </c>
      <c r="K37" s="125">
        <v>1229.04</v>
      </c>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v>1224389</v>
      </c>
      <c r="AT37" s="126">
        <v>1045</v>
      </c>
      <c r="AU37" s="126"/>
      <c r="AV37" s="126"/>
      <c r="AW37" s="324"/>
    </row>
    <row r="38" spans="1:49" x14ac:dyDescent="0.2">
      <c r="B38" s="162" t="s">
        <v>255</v>
      </c>
      <c r="C38" s="69" t="s">
        <v>16</v>
      </c>
      <c r="D38" s="116"/>
      <c r="E38" s="117"/>
      <c r="F38" s="117"/>
      <c r="G38" s="117"/>
      <c r="H38" s="117"/>
      <c r="I38" s="116"/>
      <c r="J38" s="116">
        <v>586</v>
      </c>
      <c r="K38" s="117">
        <v>586.41</v>
      </c>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v>65802</v>
      </c>
      <c r="AT38" s="120">
        <v>31</v>
      </c>
      <c r="AU38" s="120"/>
      <c r="AV38" s="120"/>
      <c r="AW38" s="325"/>
    </row>
    <row r="39" spans="1:49" x14ac:dyDescent="0.2">
      <c r="B39" s="165" t="s">
        <v>256</v>
      </c>
      <c r="C39" s="69" t="s">
        <v>17</v>
      </c>
      <c r="D39" s="116"/>
      <c r="E39" s="117"/>
      <c r="F39" s="117"/>
      <c r="G39" s="117"/>
      <c r="H39" s="117"/>
      <c r="I39" s="116"/>
      <c r="J39" s="116">
        <v>904</v>
      </c>
      <c r="K39" s="117">
        <v>904.08</v>
      </c>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v>909944</v>
      </c>
      <c r="AT39" s="120">
        <v>7900</v>
      </c>
      <c r="AU39" s="120"/>
      <c r="AV39" s="120"/>
      <c r="AW39" s="325"/>
    </row>
    <row r="40" spans="1:49" x14ac:dyDescent="0.2">
      <c r="B40" s="165" t="s">
        <v>257</v>
      </c>
      <c r="C40" s="69" t="s">
        <v>38</v>
      </c>
      <c r="D40" s="116"/>
      <c r="E40" s="117"/>
      <c r="F40" s="117"/>
      <c r="G40" s="117"/>
      <c r="H40" s="117"/>
      <c r="I40" s="116"/>
      <c r="J40" s="116">
        <v>3184</v>
      </c>
      <c r="K40" s="117">
        <v>3183.6400000000003</v>
      </c>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v>59582</v>
      </c>
      <c r="AT40" s="120">
        <v>132864</v>
      </c>
      <c r="AU40" s="120"/>
      <c r="AV40" s="120"/>
      <c r="AW40" s="325"/>
    </row>
    <row r="41" spans="1:49" s="12" customFormat="1" ht="25.5" x14ac:dyDescent="0.2">
      <c r="A41" s="42"/>
      <c r="B41" s="165" t="s">
        <v>258</v>
      </c>
      <c r="C41" s="69" t="s">
        <v>129</v>
      </c>
      <c r="D41" s="116"/>
      <c r="E41" s="117"/>
      <c r="F41" s="117"/>
      <c r="G41" s="117"/>
      <c r="H41" s="117"/>
      <c r="I41" s="116"/>
      <c r="J41" s="116">
        <v>335</v>
      </c>
      <c r="K41" s="117">
        <v>334.78000000000003</v>
      </c>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v>2655580</v>
      </c>
      <c r="AT41" s="120">
        <v>35535</v>
      </c>
      <c r="AU41" s="120"/>
      <c r="AV41" s="120"/>
      <c r="AW41" s="325"/>
    </row>
    <row r="42" spans="1:49" s="12" customFormat="1" ht="24.95" customHeight="1" x14ac:dyDescent="0.2">
      <c r="A42" s="42"/>
      <c r="B42" s="162" t="s">
        <v>259</v>
      </c>
      <c r="C42" s="69" t="s">
        <v>87</v>
      </c>
      <c r="D42" s="116"/>
      <c r="E42" s="117"/>
      <c r="F42" s="117"/>
      <c r="G42" s="117"/>
      <c r="H42" s="117"/>
      <c r="I42" s="116">
        <v>0</v>
      </c>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c r="E44" s="125"/>
      <c r="F44" s="125"/>
      <c r="G44" s="125"/>
      <c r="H44" s="125"/>
      <c r="I44" s="124"/>
      <c r="J44" s="124">
        <v>126980</v>
      </c>
      <c r="K44" s="125">
        <v>126980</v>
      </c>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v>5965980</v>
      </c>
      <c r="AT44" s="126">
        <v>50858</v>
      </c>
      <c r="AU44" s="126"/>
      <c r="AV44" s="126"/>
      <c r="AW44" s="324"/>
    </row>
    <row r="45" spans="1:49" x14ac:dyDescent="0.2">
      <c r="B45" s="168" t="s">
        <v>262</v>
      </c>
      <c r="C45" s="69" t="s">
        <v>19</v>
      </c>
      <c r="D45" s="116"/>
      <c r="E45" s="117"/>
      <c r="F45" s="117"/>
      <c r="G45" s="117"/>
      <c r="H45" s="117"/>
      <c r="I45" s="116"/>
      <c r="J45" s="116">
        <v>3063</v>
      </c>
      <c r="K45" s="117">
        <v>3063</v>
      </c>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v>6420867</v>
      </c>
      <c r="AT45" s="120">
        <v>283944</v>
      </c>
      <c r="AU45" s="120"/>
      <c r="AV45" s="120"/>
      <c r="AW45" s="325"/>
    </row>
    <row r="46" spans="1:49" x14ac:dyDescent="0.2">
      <c r="B46" s="168" t="s">
        <v>263</v>
      </c>
      <c r="C46" s="69" t="s">
        <v>20</v>
      </c>
      <c r="D46" s="116"/>
      <c r="E46" s="117"/>
      <c r="F46" s="117"/>
      <c r="G46" s="117"/>
      <c r="H46" s="117"/>
      <c r="I46" s="116"/>
      <c r="J46" s="116">
        <v>59655</v>
      </c>
      <c r="K46" s="117">
        <v>59655</v>
      </c>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v>7129507</v>
      </c>
      <c r="AT46" s="120">
        <v>345278</v>
      </c>
      <c r="AU46" s="120"/>
      <c r="AV46" s="120"/>
      <c r="AW46" s="325"/>
    </row>
    <row r="47" spans="1:49" x14ac:dyDescent="0.2">
      <c r="B47" s="168" t="s">
        <v>264</v>
      </c>
      <c r="C47" s="69" t="s">
        <v>21</v>
      </c>
      <c r="D47" s="116"/>
      <c r="E47" s="117"/>
      <c r="F47" s="117"/>
      <c r="G47" s="117"/>
      <c r="H47" s="117"/>
      <c r="I47" s="116"/>
      <c r="J47" s="116">
        <v>50056</v>
      </c>
      <c r="K47" s="117">
        <v>50056</v>
      </c>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v>341917</v>
      </c>
      <c r="AT47" s="120">
        <v>2044957</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v>670.17874699999993</v>
      </c>
      <c r="K49" s="117">
        <v>-5146.7912530000003</v>
      </c>
      <c r="L49" s="117"/>
      <c r="M49" s="117"/>
      <c r="N49" s="117"/>
      <c r="O49" s="116"/>
      <c r="P49" s="116">
        <v>0.01</v>
      </c>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v>1334062.2468000001</v>
      </c>
      <c r="AT49" s="120">
        <v>101895.77155999999</v>
      </c>
      <c r="AU49" s="120"/>
      <c r="AV49" s="120"/>
      <c r="AW49" s="325"/>
    </row>
    <row r="50" spans="2:49" ht="25.5" x14ac:dyDescent="0.2">
      <c r="B50" s="162" t="s">
        <v>266</v>
      </c>
      <c r="C50" s="69"/>
      <c r="D50" s="116"/>
      <c r="E50" s="117"/>
      <c r="F50" s="117"/>
      <c r="G50" s="117"/>
      <c r="H50" s="117"/>
      <c r="I50" s="116"/>
      <c r="J50" s="116">
        <v>67.459999999999994</v>
      </c>
      <c r="K50" s="117">
        <v>67.459999999999994</v>
      </c>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v>14775.5</v>
      </c>
      <c r="AT50" s="120">
        <v>1258.7799999999997</v>
      </c>
      <c r="AU50" s="120"/>
      <c r="AV50" s="120"/>
      <c r="AW50" s="325"/>
    </row>
    <row r="51" spans="2:49" x14ac:dyDescent="0.2">
      <c r="B51" s="162" t="s">
        <v>267</v>
      </c>
      <c r="C51" s="69"/>
      <c r="D51" s="116"/>
      <c r="E51" s="117"/>
      <c r="F51" s="117"/>
      <c r="G51" s="117"/>
      <c r="H51" s="117"/>
      <c r="I51" s="116"/>
      <c r="J51" s="116">
        <v>115577</v>
      </c>
      <c r="K51" s="117">
        <v>115577</v>
      </c>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v>24758854</v>
      </c>
      <c r="AT51" s="120">
        <v>2640716</v>
      </c>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c r="E56" s="129"/>
      <c r="F56" s="129"/>
      <c r="G56" s="129"/>
      <c r="H56" s="129"/>
      <c r="I56" s="128"/>
      <c r="J56" s="128">
        <v>24</v>
      </c>
      <c r="K56" s="129">
        <v>33</v>
      </c>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v>379015</v>
      </c>
      <c r="AT56" s="130">
        <v>23634</v>
      </c>
      <c r="AU56" s="130"/>
      <c r="AV56" s="130"/>
      <c r="AW56" s="316"/>
    </row>
    <row r="57" spans="2:49" x14ac:dyDescent="0.2">
      <c r="B57" s="168" t="s">
        <v>273</v>
      </c>
      <c r="C57" s="69" t="s">
        <v>25</v>
      </c>
      <c r="D57" s="131"/>
      <c r="E57" s="132"/>
      <c r="F57" s="132"/>
      <c r="G57" s="132"/>
      <c r="H57" s="132"/>
      <c r="I57" s="131"/>
      <c r="J57" s="131">
        <v>70</v>
      </c>
      <c r="K57" s="132">
        <v>67</v>
      </c>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v>380692</v>
      </c>
      <c r="AT57" s="133">
        <v>50786</v>
      </c>
      <c r="AU57" s="133"/>
      <c r="AV57" s="133"/>
      <c r="AW57" s="317"/>
    </row>
    <row r="58" spans="2:49" x14ac:dyDescent="0.2">
      <c r="B58" s="168" t="s">
        <v>274</v>
      </c>
      <c r="C58" s="69" t="s">
        <v>26</v>
      </c>
      <c r="D58" s="337"/>
      <c r="E58" s="338"/>
      <c r="F58" s="338"/>
      <c r="G58" s="338"/>
      <c r="H58" s="338"/>
      <c r="I58" s="337"/>
      <c r="J58" s="131">
        <v>12</v>
      </c>
      <c r="K58" s="132">
        <v>12</v>
      </c>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v>5</v>
      </c>
      <c r="AT58" s="133">
        <v>860</v>
      </c>
      <c r="AU58" s="133"/>
      <c r="AV58" s="133"/>
      <c r="AW58" s="317"/>
    </row>
    <row r="59" spans="2:49" x14ac:dyDescent="0.2">
      <c r="B59" s="168" t="s">
        <v>275</v>
      </c>
      <c r="C59" s="69" t="s">
        <v>27</v>
      </c>
      <c r="D59" s="131"/>
      <c r="E59" s="132"/>
      <c r="F59" s="132"/>
      <c r="G59" s="132"/>
      <c r="H59" s="132"/>
      <c r="I59" s="131"/>
      <c r="J59" s="131">
        <v>1081</v>
      </c>
      <c r="K59" s="132">
        <v>1079</v>
      </c>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v>4598078</v>
      </c>
      <c r="AT59" s="133">
        <v>563456</v>
      </c>
      <c r="AU59" s="133"/>
      <c r="AV59" s="133"/>
      <c r="AW59" s="317"/>
    </row>
    <row r="60" spans="2:49" x14ac:dyDescent="0.2">
      <c r="B60" s="168" t="s">
        <v>276</v>
      </c>
      <c r="C60" s="69"/>
      <c r="D60" s="134">
        <f>D$59/12</f>
        <v>0</v>
      </c>
      <c r="E60" s="135">
        <f>E$59/12</f>
        <v>0</v>
      </c>
      <c r="F60" s="135">
        <f>F$59/12</f>
        <v>0</v>
      </c>
      <c r="G60" s="135">
        <f>G$59/12</f>
        <v>0</v>
      </c>
      <c r="H60" s="135">
        <f>H$59/12</f>
        <v>0</v>
      </c>
      <c r="I60" s="134">
        <f>I$59/12</f>
        <v>0</v>
      </c>
      <c r="J60" s="134">
        <f>J$59/12</f>
        <v>90.083333333333329</v>
      </c>
      <c r="K60" s="135">
        <f>K$59/12</f>
        <v>89.916666666666671</v>
      </c>
      <c r="L60" s="135">
        <f>L$59/12</f>
        <v>0</v>
      </c>
      <c r="M60" s="135">
        <f>M$59/12</f>
        <v>0</v>
      </c>
      <c r="N60" s="135">
        <f>N$59/12</f>
        <v>0</v>
      </c>
      <c r="O60" s="134">
        <f>O$59/12</f>
        <v>0</v>
      </c>
      <c r="P60" s="134">
        <f>P$59/12</f>
        <v>0</v>
      </c>
      <c r="Q60" s="135">
        <f>Q$59/12</f>
        <v>0</v>
      </c>
      <c r="R60" s="135">
        <f>R$59/12</f>
        <v>0</v>
      </c>
      <c r="S60" s="135">
        <f>S$59/12</f>
        <v>0</v>
      </c>
      <c r="T60" s="135">
        <f>T$59/12</f>
        <v>0</v>
      </c>
      <c r="U60" s="134">
        <f>U$59/12</f>
        <v>0</v>
      </c>
      <c r="V60" s="135">
        <f>V$59/12</f>
        <v>0</v>
      </c>
      <c r="W60" s="135">
        <f>W$59/12</f>
        <v>0</v>
      </c>
      <c r="X60" s="134">
        <f>X$59/12</f>
        <v>0</v>
      </c>
      <c r="Y60" s="135">
        <f>Y$59/12</f>
        <v>0</v>
      </c>
      <c r="Z60" s="135">
        <f>Z$59/12</f>
        <v>0</v>
      </c>
      <c r="AA60" s="134">
        <f>AA$59/12</f>
        <v>0</v>
      </c>
      <c r="AB60" s="135">
        <f>AB$59/12</f>
        <v>0</v>
      </c>
      <c r="AC60" s="135">
        <f>AC$59/12</f>
        <v>0</v>
      </c>
      <c r="AD60" s="134"/>
      <c r="AE60" s="311"/>
      <c r="AF60" s="311"/>
      <c r="AG60" s="311"/>
      <c r="AH60" s="312"/>
      <c r="AI60" s="134"/>
      <c r="AJ60" s="311"/>
      <c r="AK60" s="311"/>
      <c r="AL60" s="311"/>
      <c r="AM60" s="312"/>
      <c r="AN60" s="134"/>
      <c r="AO60" s="135"/>
      <c r="AP60" s="135"/>
      <c r="AQ60" s="135"/>
      <c r="AR60" s="135"/>
      <c r="AS60" s="134">
        <f>AS$59/12</f>
        <v>383173.16666666669</v>
      </c>
      <c r="AT60" s="136">
        <f>AT$59/12</f>
        <v>46954.666666666664</v>
      </c>
      <c r="AU60" s="136">
        <f>AU$59/12</f>
        <v>0</v>
      </c>
      <c r="AV60" s="136">
        <f>AV$59/12</f>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c r="E5" s="125"/>
      <c r="F5" s="125"/>
      <c r="G5" s="137"/>
      <c r="H5" s="137"/>
      <c r="I5" s="124"/>
      <c r="J5" s="124">
        <v>1782976</v>
      </c>
      <c r="K5" s="125">
        <v>1780064.44</v>
      </c>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v>315817048</v>
      </c>
      <c r="AT5" s="126">
        <v>19254714</v>
      </c>
      <c r="AU5" s="126"/>
      <c r="AV5" s="319"/>
      <c r="AW5" s="324"/>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31897.000000000004</v>
      </c>
      <c r="AU6" s="120"/>
      <c r="AV6" s="318"/>
      <c r="AW6" s="325"/>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29908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v>-23819512</v>
      </c>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v>-3904057.0000000005</v>
      </c>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c r="E15" s="117"/>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c r="E16" s="117"/>
      <c r="F16" s="117"/>
      <c r="G16" s="117"/>
      <c r="H16" s="117"/>
      <c r="I16" s="116"/>
      <c r="J16" s="116"/>
      <c r="K16" s="117">
        <v>8197.35</v>
      </c>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v>374078</v>
      </c>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13719</v>
      </c>
      <c r="AU19" s="120"/>
      <c r="AV19" s="318"/>
      <c r="AW19" s="325"/>
    </row>
    <row r="20" spans="2:49" s="12" customFormat="1" ht="25.5" x14ac:dyDescent="0.2">
      <c r="B20" s="185" t="s">
        <v>485</v>
      </c>
      <c r="C20" s="140"/>
      <c r="D20" s="116"/>
      <c r="E20" s="117"/>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c r="E23" s="295"/>
      <c r="F23" s="295"/>
      <c r="G23" s="295"/>
      <c r="H23" s="295"/>
      <c r="I23" s="299"/>
      <c r="J23" s="116">
        <v>1025089</v>
      </c>
      <c r="K23" s="295"/>
      <c r="L23" s="295"/>
      <c r="M23" s="295"/>
      <c r="N23" s="295"/>
      <c r="O23" s="299"/>
      <c r="P23" s="116">
        <v>12209</v>
      </c>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v>273610242</v>
      </c>
      <c r="AT23" s="120">
        <v>13183168</v>
      </c>
      <c r="AU23" s="120"/>
      <c r="AV23" s="318"/>
      <c r="AW23" s="325"/>
    </row>
    <row r="24" spans="2:49" ht="28.5" customHeight="1" x14ac:dyDescent="0.2">
      <c r="B24" s="185" t="s">
        <v>114</v>
      </c>
      <c r="C24" s="140"/>
      <c r="D24" s="300"/>
      <c r="E24" s="117"/>
      <c r="F24" s="117"/>
      <c r="G24" s="117"/>
      <c r="H24" s="117"/>
      <c r="I24" s="116"/>
      <c r="J24" s="300"/>
      <c r="K24" s="117">
        <v>1092754.4182679739</v>
      </c>
      <c r="L24" s="117"/>
      <c r="M24" s="117"/>
      <c r="N24" s="117"/>
      <c r="O24" s="116"/>
      <c r="P24" s="300"/>
      <c r="Q24" s="117">
        <v>-10253.778267974001</v>
      </c>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c r="E26" s="295"/>
      <c r="F26" s="295"/>
      <c r="G26" s="295"/>
      <c r="H26" s="295"/>
      <c r="I26" s="299"/>
      <c r="J26" s="116">
        <v>144891</v>
      </c>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v>6104075</v>
      </c>
      <c r="AT26" s="120">
        <v>2343999</v>
      </c>
      <c r="AU26" s="120"/>
      <c r="AV26" s="318"/>
      <c r="AW26" s="325"/>
    </row>
    <row r="27" spans="2:49" s="12" customFormat="1" ht="25.5" x14ac:dyDescent="0.2">
      <c r="B27" s="185" t="s">
        <v>85</v>
      </c>
      <c r="C27" s="140"/>
      <c r="D27" s="300"/>
      <c r="E27" s="117"/>
      <c r="F27" s="117"/>
      <c r="G27" s="117"/>
      <c r="H27" s="117"/>
      <c r="I27" s="116"/>
      <c r="J27" s="300"/>
      <c r="K27" s="117">
        <v>25241.769700000008</v>
      </c>
      <c r="L27" s="117"/>
      <c r="M27" s="117"/>
      <c r="N27" s="117"/>
      <c r="O27" s="116"/>
      <c r="P27" s="300"/>
      <c r="Q27" s="117">
        <v>-21.39</v>
      </c>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c r="E28" s="296"/>
      <c r="F28" s="296"/>
      <c r="G28" s="296"/>
      <c r="H28" s="296"/>
      <c r="I28" s="300"/>
      <c r="J28" s="116">
        <v>48613</v>
      </c>
      <c r="K28" s="296"/>
      <c r="L28" s="296"/>
      <c r="M28" s="296"/>
      <c r="N28" s="296"/>
      <c r="O28" s="300"/>
      <c r="P28" s="116">
        <v>12209</v>
      </c>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v>4323445</v>
      </c>
      <c r="AT28" s="120">
        <v>1504975.0000000002</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v>510</v>
      </c>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813924</v>
      </c>
      <c r="AU30" s="120"/>
      <c r="AV30" s="318"/>
      <c r="AW30" s="325"/>
    </row>
    <row r="31" spans="2:49" s="12" customFormat="1" ht="25.5" x14ac:dyDescent="0.2">
      <c r="B31" s="185" t="s">
        <v>84</v>
      </c>
      <c r="C31" s="140"/>
      <c r="D31" s="300"/>
      <c r="E31" s="117"/>
      <c r="F31" s="117"/>
      <c r="G31" s="117"/>
      <c r="H31" s="117"/>
      <c r="I31" s="116"/>
      <c r="J31" s="300"/>
      <c r="K31" s="117">
        <v>510.37</v>
      </c>
      <c r="L31" s="117"/>
      <c r="M31" s="117"/>
      <c r="N31" s="117"/>
      <c r="O31" s="116"/>
      <c r="P31" s="300"/>
      <c r="Q31" s="117">
        <v>-609.39</v>
      </c>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v>609</v>
      </c>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776916</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v>584806</v>
      </c>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v>-23819512</v>
      </c>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v>-3904057.0000000005</v>
      </c>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v>1263</v>
      </c>
      <c r="K49" s="117">
        <v>9635.67</v>
      </c>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v>31303691</v>
      </c>
      <c r="AT49" s="120">
        <v>230</v>
      </c>
      <c r="AU49" s="120"/>
      <c r="AV49" s="318"/>
      <c r="AW49" s="325"/>
    </row>
    <row r="50" spans="2:49" x14ac:dyDescent="0.2">
      <c r="B50" s="183" t="s">
        <v>119</v>
      </c>
      <c r="C50" s="140" t="s">
        <v>34</v>
      </c>
      <c r="D50" s="116"/>
      <c r="E50" s="296"/>
      <c r="F50" s="296"/>
      <c r="G50" s="296"/>
      <c r="H50" s="296"/>
      <c r="I50" s="300"/>
      <c r="J50" s="116">
        <v>2114</v>
      </c>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v>21437025</v>
      </c>
      <c r="AT50" s="120">
        <v>84</v>
      </c>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v>0</v>
      </c>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f>D23+D26-D28+D30-D32+D34-D36+D38+D41-D43+D45+D46-D47-D49+D50+D51+D52+D53</f>
        <v>0</v>
      </c>
      <c r="E54" s="122">
        <f>E24+E27+E31+E35-E36+E39+E42+E45+E46-E49+E51+E52+E53</f>
        <v>0</v>
      </c>
      <c r="F54" s="122">
        <f>F24+F27+F31+F35-F36+F39+F42+F45+F46-F49+F51+F52+F53</f>
        <v>0</v>
      </c>
      <c r="G54" s="122">
        <f>G24+G27+G31+G35-G36+G39+G42+G45+G46-G49+G51+G52+G53</f>
        <v>0</v>
      </c>
      <c r="H54" s="122">
        <f>H24+H27+H31+H35-H36+H39+H42+H45+H46-H49+H51+H52+H53</f>
        <v>0</v>
      </c>
      <c r="I54" s="121">
        <f>I24+I27+I31+I35-I36+I39+I42+I45+I46-I49+I51+I52+I53</f>
        <v>0</v>
      </c>
      <c r="J54" s="121">
        <f>J23+J26-J28+J30-J32+J34-J36+J38+J41-J43+J45+J46-J47-J49+J50+J51+J52+J53</f>
        <v>1122119</v>
      </c>
      <c r="K54" s="122">
        <f>K24+K27+K31+K35-K36+K39+K42+K45+K46-K49+K51+K52+K53</f>
        <v>1108870.8879679742</v>
      </c>
      <c r="L54" s="122">
        <f>L24+L27+L31+L35-L36+L39+L42+L45+L46-L49+L51+L52+L53</f>
        <v>0</v>
      </c>
      <c r="M54" s="122">
        <f>M24+M27+M31+M35-M36+M39+M42+M45+M46-M49+M51+M52+M53</f>
        <v>0</v>
      </c>
      <c r="N54" s="122">
        <f>N24+N27+N31+N35-N36+N39+N42+N45+N46-N49+N51+N52+N53</f>
        <v>0</v>
      </c>
      <c r="O54" s="121">
        <f>O24+O27+O31+O35-O36+O39+O42+O45+O46-O49+O51+O52+O53</f>
        <v>0</v>
      </c>
      <c r="P54" s="121">
        <f>P23+P26-P28+P30-P32+P34-P36+P38+P41-P43+P45+P46-P47-P49+P50+P51+P52+P53</f>
        <v>0</v>
      </c>
      <c r="Q54" s="122">
        <f>Q24+Q27+Q31+Q35-Q36+Q39+Q42+Q45+Q46-Q49+Q51+Q52+Q53</f>
        <v>-10884.558267974</v>
      </c>
      <c r="R54" s="122">
        <f>R24+R27+R31+R35-R36+R39+R42+R45+R46-R49+R51+R52+R53</f>
        <v>0</v>
      </c>
      <c r="S54" s="122">
        <f>S24+S27+S31+S35-S36+S39+S42+S45+S46-S49+S51+S52+S53</f>
        <v>0</v>
      </c>
      <c r="T54" s="122">
        <f>T24+T27+T31+T35-T36+T39+T42+T45+T46-T49+T51+T52+T53</f>
        <v>0</v>
      </c>
      <c r="U54" s="121">
        <f>U23+U26-U28+U30-U32+U34-U36+U38+U41-U43+U45+U46-U47-U49+U50+U51+U52+U53</f>
        <v>0</v>
      </c>
      <c r="V54" s="122">
        <f>V24+V27+V31+V35-V36+V39+V42+V45+V46-V49+V51+V52+V53</f>
        <v>0</v>
      </c>
      <c r="W54" s="122">
        <f>W24+W27+W31+W35-W36+W39+W42+W45+W46-W49+W51+W52+W53</f>
        <v>0</v>
      </c>
      <c r="X54" s="121">
        <f>X23+X26-X28+X30-X32+X34-X36+X38+X41-X43+X45+X46-X47-X49+X50+X51+X52+X53</f>
        <v>0</v>
      </c>
      <c r="Y54" s="122">
        <f>Y24+Y27+Y31+Y35-Y36+Y39+Y42+Y45+Y46-Y49+Y51+Y52+Y53</f>
        <v>0</v>
      </c>
      <c r="Z54" s="122">
        <f>Z24+Z27+Z31+Z35-Z36+Z39+Z42+Z45+Z46-Z49+Z51+Z52+Z53</f>
        <v>0</v>
      </c>
      <c r="AA54" s="121">
        <f>AA23+AA26-AA28+AA30-AA32+AA34-AA36+AA38+AA41-AA43+AA45+AA46-AA47-AA49+AA50+AA51+AA52+AA53</f>
        <v>0</v>
      </c>
      <c r="AB54" s="122">
        <f>AB24+AB27+AB31+AB35-AB36+AB39+AB42+AB45+AB46-AB49+AB51+AB52+AB53</f>
        <v>0</v>
      </c>
      <c r="AC54" s="122">
        <f>AC24+AC27+AC31+AC35-AC36+AC39+AC42+AC45+AC46-AC49+AC51+AC52+AC53</f>
        <v>0</v>
      </c>
      <c r="AD54" s="121"/>
      <c r="AE54" s="295"/>
      <c r="AF54" s="295"/>
      <c r="AG54" s="295"/>
      <c r="AH54" s="295"/>
      <c r="AI54" s="121"/>
      <c r="AJ54" s="295"/>
      <c r="AK54" s="295"/>
      <c r="AL54" s="295"/>
      <c r="AM54" s="295"/>
      <c r="AN54" s="121"/>
      <c r="AO54" s="122"/>
      <c r="AP54" s="122"/>
      <c r="AQ54" s="122"/>
      <c r="AR54" s="122"/>
      <c r="AS54" s="121">
        <f>AS23+AS26-AS28+AS30-AS32+AS34-AS36+AS38+AS41-AS43+AS45+AS46-AS47-AS49+AS50+AS51+AS52+AS53</f>
        <v>246193557</v>
      </c>
      <c r="AT54" s="123">
        <f>AT23+AT26-AT28+AT30-AT32+AT34-AT36+AT38+AT41-AT43+AT45+AT46-AT47-AT49+AT50+AT51+AT52+AT53</f>
        <v>14059054</v>
      </c>
      <c r="AU54" s="123">
        <f>AU23+AU26-AU28+AU30-AU32+AU34-AU36+AU38+AU41-AU43+AU45+AU46-AU47-AU49+AU50+AU51+AU52+AU53</f>
        <v>0</v>
      </c>
      <c r="AV54" s="318"/>
      <c r="AW54" s="325"/>
    </row>
    <row r="55" spans="2:49" ht="25.5" x14ac:dyDescent="0.2">
      <c r="B55" s="188" t="s">
        <v>304</v>
      </c>
      <c r="C55" s="144" t="s">
        <v>28</v>
      </c>
      <c r="D55" s="121">
        <f>MIN(MAX(0,D56),MAX(0,D57))</f>
        <v>0</v>
      </c>
      <c r="E55" s="122">
        <f>MIN(MAX(0,E56),MAX(0,E57))</f>
        <v>0</v>
      </c>
      <c r="F55" s="122">
        <f>MIN(MAX(0,F56),MAX(0,F57))</f>
        <v>0</v>
      </c>
      <c r="G55" s="122">
        <f>MIN(MAX(0,G56),MAX(0,G57))</f>
        <v>0</v>
      </c>
      <c r="H55" s="122">
        <f>MIN(MAX(0,H56),MAX(0,H57))</f>
        <v>0</v>
      </c>
      <c r="I55" s="121">
        <f>MIN(MAX(0,I56),MAX(0,I57))</f>
        <v>0</v>
      </c>
      <c r="J55" s="121">
        <f>MIN(MAX(0,J56),MAX(0,J57))</f>
        <v>137</v>
      </c>
      <c r="K55" s="122">
        <f>MIN(MAX(0,K56),MAX(0,K57))</f>
        <v>137</v>
      </c>
      <c r="L55" s="122">
        <f>MIN(MAX(0,L56),MAX(0,L57))</f>
        <v>0</v>
      </c>
      <c r="M55" s="122">
        <f>MIN(MAX(0,M56),MAX(0,M57))</f>
        <v>0</v>
      </c>
      <c r="N55" s="122">
        <f>MIN(MAX(0,N56),MAX(0,N57))</f>
        <v>0</v>
      </c>
      <c r="O55" s="121">
        <f>MIN(MAX(0,O56),MAX(0,O57))</f>
        <v>0</v>
      </c>
      <c r="P55" s="121">
        <f>MIN(MAX(0,P56),MAX(0,P57))</f>
        <v>0</v>
      </c>
      <c r="Q55" s="122">
        <f>MIN(MAX(0,Q56),MAX(0,Q57))</f>
        <v>0</v>
      </c>
      <c r="R55" s="122">
        <f>MIN(MAX(0,R56),MAX(0,R57))</f>
        <v>0</v>
      </c>
      <c r="S55" s="122">
        <f>MIN(MAX(0,S56),MAX(0,S57))</f>
        <v>0</v>
      </c>
      <c r="T55" s="122">
        <f>MIN(MAX(0,T56),MAX(0,T57))</f>
        <v>0</v>
      </c>
      <c r="U55" s="121">
        <f>MIN(MAX(0,U56),MAX(0,U57))</f>
        <v>0</v>
      </c>
      <c r="V55" s="122">
        <f>MIN(MAX(0,V56),MAX(0,V57))</f>
        <v>0</v>
      </c>
      <c r="W55" s="122">
        <f>MIN(MAX(0,W56),MAX(0,W57))</f>
        <v>0</v>
      </c>
      <c r="X55" s="121">
        <f>MIN(MAX(0,X56),MAX(0,X57))</f>
        <v>0</v>
      </c>
      <c r="Y55" s="122">
        <f>MIN(MAX(0,Y56),MAX(0,Y57))</f>
        <v>0</v>
      </c>
      <c r="Z55" s="122">
        <f>MIN(MAX(0,Z56),MAX(0,Z57))</f>
        <v>0</v>
      </c>
      <c r="AA55" s="121">
        <f>MIN(MAX(0,AA56),MAX(0,AA57))</f>
        <v>0</v>
      </c>
      <c r="AB55" s="122">
        <f>MIN(MAX(0,AB56),MAX(0,AB57))</f>
        <v>0</v>
      </c>
      <c r="AC55" s="122">
        <f>MIN(MAX(0,AC56),MAX(0,AC57))</f>
        <v>0</v>
      </c>
      <c r="AD55" s="121"/>
      <c r="AE55" s="295"/>
      <c r="AF55" s="295"/>
      <c r="AG55" s="295"/>
      <c r="AH55" s="295"/>
      <c r="AI55" s="121"/>
      <c r="AJ55" s="295"/>
      <c r="AK55" s="295"/>
      <c r="AL55" s="295"/>
      <c r="AM55" s="295"/>
      <c r="AN55" s="121"/>
      <c r="AO55" s="122"/>
      <c r="AP55" s="122"/>
      <c r="AQ55" s="122"/>
      <c r="AR55" s="122"/>
      <c r="AS55" s="121">
        <f>MIN(MAX(0,AS56),MAX(0,AS57))</f>
        <v>0</v>
      </c>
      <c r="AT55" s="123">
        <f>MIN(MAX(0,AT56),MAX(0,AT57))</f>
        <v>0</v>
      </c>
      <c r="AU55" s="123">
        <f>MIN(MAX(0,AU56),MAX(0,AU57))</f>
        <v>0</v>
      </c>
      <c r="AV55" s="318"/>
      <c r="AW55" s="325"/>
    </row>
    <row r="56" spans="2:49" ht="11.85" customHeight="1" x14ac:dyDescent="0.2">
      <c r="B56" s="183" t="s">
        <v>120</v>
      </c>
      <c r="C56" s="144" t="s">
        <v>452</v>
      </c>
      <c r="D56" s="116"/>
      <c r="E56" s="117"/>
      <c r="F56" s="117"/>
      <c r="G56" s="117"/>
      <c r="H56" s="117"/>
      <c r="I56" s="116"/>
      <c r="J56" s="116">
        <v>812</v>
      </c>
      <c r="K56" s="117">
        <v>812</v>
      </c>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c r="E57" s="117"/>
      <c r="F57" s="117"/>
      <c r="G57" s="117"/>
      <c r="H57" s="117"/>
      <c r="I57" s="116"/>
      <c r="J57" s="116">
        <v>137</v>
      </c>
      <c r="K57" s="117">
        <v>137</v>
      </c>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v>125678</v>
      </c>
      <c r="AT57" s="120">
        <v>902</v>
      </c>
      <c r="AU57" s="120"/>
      <c r="AV57" s="120"/>
      <c r="AW57" s="325"/>
    </row>
    <row r="58" spans="2:49" s="12" customFormat="1" x14ac:dyDescent="0.2">
      <c r="B58" s="191" t="s">
        <v>484</v>
      </c>
      <c r="C58" s="192"/>
      <c r="D58" s="193"/>
      <c r="E58" s="194"/>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v>770360.37</v>
      </c>
      <c r="I5" s="125">
        <v>687599.55129999993</v>
      </c>
      <c r="J5" s="353"/>
      <c r="K5" s="353"/>
      <c r="L5" s="319"/>
      <c r="M5" s="124">
        <v>45022.780000000006</v>
      </c>
      <c r="N5" s="125">
        <v>609.39</v>
      </c>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c r="D6" s="117"/>
      <c r="E6" s="122">
        <f>SUM('Pt 1 Summary of Data'!E$12,'Pt 1 Summary of Data'!E$22)+SUM('Pt 1 Summary of Data'!G$12,'Pt 1 Summary of Data'!G$22)-SUM('Pt 1 Summary of Data'!H$12,'Pt 1 Summary of Data'!H$22)</f>
        <v>0</v>
      </c>
      <c r="F6" s="122">
        <f>SUM(C6:E6)</f>
        <v>0</v>
      </c>
      <c r="G6" s="123">
        <f>SUM('Pt 1 Summary of Data'!I$12,'Pt 1 Summary of Data'!I$22)</f>
        <v>0</v>
      </c>
      <c r="H6" s="116">
        <v>836849.91999999923</v>
      </c>
      <c r="I6" s="117">
        <v>757772.64849999989</v>
      </c>
      <c r="J6" s="122">
        <f>SUM('Pt 1 Summary of Data'!K$12,'Pt 1 Summary of Data'!K$22)+SUM('Pt 1 Summary of Data'!M$12,'Pt 1 Summary of Data'!M$22)-SUM('Pt 1 Summary of Data'!N$12,'Pt 1 Summary of Data'!N$22)</f>
        <v>1109007.8879679742</v>
      </c>
      <c r="K6" s="122">
        <f>SUM(H6:J6)</f>
        <v>2703630.4564679731</v>
      </c>
      <c r="L6" s="123">
        <f>SUM('Pt 1 Summary of Data'!O$12,'Pt 1 Summary of Data'!O$22)</f>
        <v>0</v>
      </c>
      <c r="M6" s="116">
        <v>44782.870000000024</v>
      </c>
      <c r="N6" s="117">
        <v>5763.39</v>
      </c>
      <c r="O6" s="122">
        <f>SUM('Pt 1 Summary of Data'!Q$12,'Pt 1 Summary of Data'!Q$22)+SUM('Pt 1 Summary of Data'!S$12,'Pt 1 Summary of Data'!S$22)-SUM('Pt 1 Summary of Data'!T$12,'Pt 1 Summary of Data'!T$22)</f>
        <v>-10884.558267974</v>
      </c>
      <c r="P6" s="122">
        <f>SUM(M6:O6)</f>
        <v>39661.70173202602</v>
      </c>
      <c r="Q6" s="116"/>
      <c r="R6" s="117"/>
      <c r="S6" s="122">
        <f>SUM('Pt 1 Summary of Data'!V$12,'Pt 1 Summary of Data'!V$22)</f>
        <v>0</v>
      </c>
      <c r="T6" s="122">
        <f>SUM(Q6:S6)</f>
        <v>0</v>
      </c>
      <c r="U6" s="116"/>
      <c r="V6" s="117"/>
      <c r="W6" s="122">
        <f>SUM('Pt 1 Summary of Data'!Y$12,'Pt 1 Summary of Data'!Y$22)</f>
        <v>0</v>
      </c>
      <c r="X6" s="122">
        <f>SUM(U6:W6)</f>
        <v>0</v>
      </c>
      <c r="Y6" s="116"/>
      <c r="Z6" s="117"/>
      <c r="AA6" s="122">
        <f>SUM('Pt 1 Summary of Data'!AB$12,'Pt 1 Summary of Data'!AB$22)</f>
        <v>0</v>
      </c>
      <c r="AB6" s="122">
        <f>SUM(Y6:AA6)</f>
        <v>0</v>
      </c>
      <c r="AC6" s="299"/>
      <c r="AD6" s="295"/>
      <c r="AE6" s="295"/>
      <c r="AF6" s="295"/>
      <c r="AG6" s="299"/>
      <c r="AH6" s="295"/>
      <c r="AI6" s="295"/>
      <c r="AJ6" s="295"/>
      <c r="AK6" s="299"/>
      <c r="AL6" s="117"/>
      <c r="AM6" s="122"/>
      <c r="AN6" s="260"/>
    </row>
    <row r="7" spans="1:40" x14ac:dyDescent="0.2">
      <c r="B7" s="198" t="s">
        <v>312</v>
      </c>
      <c r="C7" s="116"/>
      <c r="D7" s="117"/>
      <c r="E7" s="122">
        <f>SUM('Pt 1 Summary of Data'!E$37:E$41)+SUM('Pt 1 Summary of Data'!G$37:G$41)-SUM('Pt 1 Summary of Data'!H$37:H$41)+MAX(0,MIN('Pt 1 Summary of Data'!E$42+'Pt 1 Summary of Data'!G$42-'Pt 1 Summary of Data'!H$42,0.3%*('Pt 1 Summary of Data'!E$5+'Pt 1 Summary of Data'!G$5-'Pt 1 Summary of Data'!H$5-SUM(E$9:E$11))))</f>
        <v>0</v>
      </c>
      <c r="F7" s="122">
        <f>SUM(C7:E7)</f>
        <v>0</v>
      </c>
      <c r="G7" s="123">
        <f>SUM('Pt 1 Summary of Data'!I$37:I$41)+MAX(0,MIN('Pt 1 Summary of Data'!I$42,0.3%*('Pt 1 Summary of Data'!I$5-SUM(G$9:G$10))))</f>
        <v>0</v>
      </c>
      <c r="H7" s="116">
        <v>17312.600000000002</v>
      </c>
      <c r="I7" s="117">
        <v>8303.9600000000009</v>
      </c>
      <c r="J7" s="122">
        <f>SUM('Pt 1 Summary of Data'!K$37:K$41)+SUM('Pt 1 Summary of Data'!M$37:M$41)-SUM('Pt 1 Summary of Data'!N$37:N$41)+MAX(0,MIN('Pt 1 Summary of Data'!K$42+'Pt 1 Summary of Data'!M$42-'Pt 1 Summary of Data'!N$42,0.3%*('Pt 1 Summary of Data'!K$5+'Pt 1 Summary of Data'!M$5-'Pt 1 Summary of Data'!N$5-SUM(J$10:J$11))))</f>
        <v>6237.95</v>
      </c>
      <c r="K7" s="122">
        <f>SUM(H7:J7)</f>
        <v>31854.510000000006</v>
      </c>
      <c r="L7" s="123">
        <f>SUM('Pt 1 Summary of Data'!O$37:O$41)+MAX(0,MIN('Pt 1 Summary of Data'!O$42,0.3%*('Pt 1 Summary of Data'!O$5-L$10)))</f>
        <v>0</v>
      </c>
      <c r="M7" s="116">
        <v>560.87</v>
      </c>
      <c r="N7" s="117"/>
      <c r="O7" s="122">
        <f>SUM('Pt 1 Summary of Data'!Q$37:Q$41)+SUM('Pt 1 Summary of Data'!S$37:S$41)-SUM('Pt 1 Summary of Data'!T$37:T$41)+MAX(0,MIN('Pt 1 Summary of Data'!Q$42+'Pt 1 Summary of Data'!S$42-'Pt 1 Summary of Data'!T$42,0.3%*('Pt 1 Summary of Data'!Q$5+'Pt 1 Summary of Data'!S$5-'Pt 1 Summary of Data'!T$5)))</f>
        <v>0</v>
      </c>
      <c r="P7" s="122">
        <f>SUM(M7:O7)</f>
        <v>560.87</v>
      </c>
      <c r="Q7" s="116"/>
      <c r="R7" s="117"/>
      <c r="S7" s="122">
        <f>SUM('Pt 1 Summary of Data'!V$37:V$41)+MAX(0,MIN('Pt 1 Summary of Data'!V$42,0.3%*'Pt 1 Summary of Data'!V$5))</f>
        <v>0</v>
      </c>
      <c r="T7" s="122">
        <f>SUM(Q7:S7)</f>
        <v>0</v>
      </c>
      <c r="U7" s="116"/>
      <c r="V7" s="117"/>
      <c r="W7" s="122">
        <f>SUM('Pt 1 Summary of Data'!Y$37:Y$41)+MAX(0,MIN('Pt 1 Summary of Data'!Y$42,0.3%*'Pt 1 Summary of Data'!Y$5))</f>
        <v>0</v>
      </c>
      <c r="X7" s="122">
        <f>SUM(U7:W7)</f>
        <v>0</v>
      </c>
      <c r="Y7" s="116"/>
      <c r="Z7" s="117"/>
      <c r="AA7" s="122">
        <f>SUM('Pt 1 Summary of Data'!AB$37:AB$41)+MAX(0,MIN('Pt 1 Summary of Data'!AB$42,0.3%*'Pt 1 Summary of Data'!AB$5))</f>
        <v>0</v>
      </c>
      <c r="AB7" s="122">
        <f>SUM(Y7:AA7)</f>
        <v>0</v>
      </c>
      <c r="AC7" s="299"/>
      <c r="AD7" s="295"/>
      <c r="AE7" s="295"/>
      <c r="AF7" s="295"/>
      <c r="AG7" s="299"/>
      <c r="AH7" s="295"/>
      <c r="AI7" s="295"/>
      <c r="AJ7" s="295"/>
      <c r="AK7" s="299"/>
      <c r="AL7" s="117"/>
      <c r="AM7" s="122"/>
      <c r="AN7" s="260"/>
    </row>
    <row r="8" spans="1:40" x14ac:dyDescent="0.2">
      <c r="B8" s="198" t="s">
        <v>483</v>
      </c>
      <c r="C8" s="300"/>
      <c r="D8" s="296"/>
      <c r="E8" s="276"/>
      <c r="F8" s="276">
        <f>SUM(C8:E8)</f>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f>'Pt 2 Premium and Claims'!E$15+'Pt 2 Premium and Claims'!G$15-'Pt 2 Premium and Claims'!H$15</f>
        <v>0</v>
      </c>
      <c r="F9" s="122">
        <f>SUM(C9:E9)</f>
        <v>0</v>
      </c>
      <c r="G9" s="123">
        <f>'Pt 2 Premium and Claims'!I$15</f>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f>'Pt 2 Premium and Claims'!E$16+'Pt 2 Premium and Claims'!G$16-'Pt 2 Premium and Claims'!H$16</f>
        <v>0</v>
      </c>
      <c r="F10" s="122">
        <f>SUM(C10:E10)</f>
        <v>0</v>
      </c>
      <c r="G10" s="123">
        <f>'Pt 2 Premium and Claims'!I$16</f>
        <v>0</v>
      </c>
      <c r="H10" s="299"/>
      <c r="I10" s="295"/>
      <c r="J10" s="122">
        <f>'Pt 2 Premium and Claims'!K$16+'Pt 2 Premium and Claims'!M$16-'Pt 2 Premium and Claims'!N$16</f>
        <v>8197.35</v>
      </c>
      <c r="K10" s="122">
        <f>SUM(H10:J10)</f>
        <v>8197.35</v>
      </c>
      <c r="L10" s="123">
        <f>'Pt 2 Premium and Claims'!O$16</f>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f>'Pt 2 Premium and Claims'!E$17+'Pt 2 Premium and Claims'!G$17-'Pt 2 Premium and Claims'!H$17</f>
        <v>0</v>
      </c>
      <c r="F11" s="122">
        <f>SUM(C11:E11)</f>
        <v>0</v>
      </c>
      <c r="G11" s="321"/>
      <c r="H11" s="299"/>
      <c r="I11" s="295"/>
      <c r="J11" s="122">
        <f>'Pt 2 Premium and Claims'!K$17+'Pt 2 Premium and Claims'!M$17-'Pt 2 Premium and Claims'!N$17</f>
        <v>0</v>
      </c>
      <c r="K11" s="122">
        <f>SUM(H11:J11)</f>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f>SUM(C$6:C$7)+IF(AND(OR('Company Information'!$C$12="District of Columbia",'Company Information'!$C$12="Massachusetts",'Company Information'!$C$12="Vermont"),SUM($C$6:$F$11,$C$15:$F$16,$C$37:$D$37)&lt;&gt;0),SUM(H$6:H$7),0)</f>
        <v>0</v>
      </c>
      <c r="D12" s="122">
        <f>SUM(D$6:D$7)+IF(AND(OR('Company Information'!$C$12="District of Columbia",'Company Information'!$C$12="Massachusetts",'Company Information'!$C$12="Vermont"),SUM($C$6:$F$11,$C$15:$F$16,$C$37:$D$37)&lt;&gt;0),SUM(I$6:I$7),0)</f>
        <v>0</v>
      </c>
      <c r="E12" s="122">
        <f>SUM(E$6:E$7)-SUM(E$8:E$11)+IF(AND(OR('Company Information'!$C$12="District of Columbia",'Company Information'!$C$12="Massachusetts",'Company Information'!$C$12="Vermont"),SUM($C$6:$F$11,$C$15:$F$16,$C$37:$D$37)&lt;&gt;0),SUM(J$6:J$7)-SUM(J$10:J$11),0)</f>
        <v>0</v>
      </c>
      <c r="F12" s="122">
        <f>IFERROR(SUM(C$12:E$12)+C$17*MAX(0,E$49-C$49)+D$17*MAX(0,E$49-D$49),0)</f>
        <v>0</v>
      </c>
      <c r="G12" s="318"/>
      <c r="H12" s="121">
        <f>SUM(H$6:H$7)+IF(AND(OR('Company Information'!$C$12="District of Columbia",'Company Information'!$C$12="Massachusetts",'Company Information'!$C$12="Vermont"),SUM($H$6:$K$11,$H$15:$K$16,$H$37:$I$37)&lt;&gt;0),SUM(C$6:C$7),0)</f>
        <v>854162.5199999992</v>
      </c>
      <c r="I12" s="122">
        <f>SUM(I$6:I$7)+IF(AND(OR('Company Information'!$C$12="District of Columbia",'Company Information'!$C$12="Massachusetts",'Company Information'!$C$12="Vermont"),SUM($H$6:$K$11,$H$15:$K$16,$H$37:$I$37)&lt;&gt;0),SUM(D$6:D$7),0)</f>
        <v>766076.60849999986</v>
      </c>
      <c r="J12" s="122">
        <f>SUM(J$6:J$7)-SUM(J$10:J$11)+IF(AND(OR('Company Information'!$C$12="District of Columbia",'Company Information'!$C$12="Massachusetts",'Company Information'!$C$12="Vermont"),SUM($H$6:$K$11,$H$15:$K$16,$H$37:$I$37)&lt;&gt;0),SUM(E$6:E$7)-SUM(E$8:E$11),0)</f>
        <v>1107048.487967974</v>
      </c>
      <c r="K12" s="122">
        <f>IFERROR(SUM(H$12:J$12)+H$17*MAX(0,J$49-H$49)+I$17*MAX(0,J$49-I$49),0)</f>
        <v>2727287.6164679732</v>
      </c>
      <c r="L12" s="318"/>
      <c r="M12" s="121">
        <f>SUM(M$6:M$7)</f>
        <v>45343.740000000027</v>
      </c>
      <c r="N12" s="122">
        <f>SUM(N$6:N$7)</f>
        <v>5763.39</v>
      </c>
      <c r="O12" s="122">
        <f>SUM(O$6:O$7)</f>
        <v>-10884.558267974</v>
      </c>
      <c r="P12" s="122">
        <f>SUM(M$12:O$12)+M$17*MAX(0,O$49-M$49)+N$17*MAX(0,O$49-N$49)</f>
        <v>40222.57173202603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f>1.75*(SUM(Q$6:Q$7)+IF(AND(OR('Company Information'!$C$12="District of Columbia",'Company Information'!$C$12="Massachusetts",'Company Information'!$C$12="Vermont"),SUM($Q$6:$T$7,$Q$15:$T$16,$Q$37:$R$37)&lt;&gt;0),SUM(U$6:U$7),0))</f>
        <v>0</v>
      </c>
      <c r="R13" s="122">
        <f>1.5*(SUM(R$6:R$7)+IF(AND(OR('Company Information'!$C$12="District of Columbia",'Company Information'!$C$12="Massachusetts",'Company Information'!$C$12="Vermont"),SUM($Q$6:$T$7,$Q$15:$T$16,$Q$37:$R$37)&lt;&gt;0),SUM(V$6:V$7),0))</f>
        <v>0</v>
      </c>
      <c r="S13" s="122">
        <f>1.25*(SUM(S$6:S$7)+IF(AND(OR('Company Information'!$C$12="District of Columbia",'Company Information'!$C$12="Massachusetts",'Company Information'!$C$12="Vermont"),SUM($Q$6:$T$7,$Q$15:$T$16,$Q$37:$R$37)&lt;&gt;0),SUM(W$6:W$7),0))</f>
        <v>0</v>
      </c>
      <c r="T13" s="122">
        <f>IFERROR(1.25*(SUM(T$6:T$7)+Q$17*MAX(0,S$49-Q$49)+R$17*MAX(0,S$49-R$49)+IF(AND(OR('Company Information'!$C$12="District of Columbia",'Company Information'!$C$12="Massachusetts",'Company Information'!$C$12="Vermont"),SUM($Q$6:$T$7,$Q$15:$T$16,$Q$37:$R$37)&lt;&gt;0),SUM(X$6:X$7),0)),0)</f>
        <v>0</v>
      </c>
      <c r="U13" s="121">
        <f>1.75*(SUM(U$6:U$7)+IF(AND(OR('Company Information'!$C$12="District of Columbia",'Company Information'!$C$12="Massachusetts",'Company Information'!$C$12="Vermont"),SUM($U$6:$X$7,$U$15:$X$16,$U$37:$V$37)&lt;&gt;0),SUM(Q$6:Q$7),0))</f>
        <v>0</v>
      </c>
      <c r="V13" s="122">
        <f>1.5*(SUM(V$6:V$7)+IF(AND(OR('Company Information'!$C$12="District of Columbia",'Company Information'!$C$12="Massachusetts",'Company Information'!$C$12="Vermont"),SUM($U$6:$X$7,$U$15:$X$16,$U$37:$V$37)&lt;&gt;0),SUM(R$6:R$7),0))</f>
        <v>0</v>
      </c>
      <c r="W13" s="122">
        <f>1.25*(SUM(W$6:W$7)+IF(AND(OR('Company Information'!$C$12="District of Columbia",'Company Information'!$C$12="Massachusetts",'Company Information'!$C$12="Vermont"),SUM($U$6:$X$7,$U$15:$X$16,$U$37:$V$37)&lt;&gt;0),SUM(S$6:S$7),0))</f>
        <v>0</v>
      </c>
      <c r="X13" s="122">
        <f>IFERROR(1.25*(SUM(X$6:X$7)+U$17*MAX(0,W$49-U$49)+V$17*MAX(0,W$49-V$49)+IF(AND(OR('Company Information'!$C$12="District of Columbia",'Company Information'!$C$12="Massachusetts",'Company Information'!$C$12="Vermont"),SUM($U$6:$X$7,$U$15:$X$16,$U$37:$V$37)&lt;&gt;0),SUM(T$6:T$7),0)),0)</f>
        <v>0</v>
      </c>
      <c r="Y13" s="121">
        <f>1.75*SUM(Y$6:Y$7)</f>
        <v>0</v>
      </c>
      <c r="Z13" s="122">
        <f>1.5*SUM(Z$6:Z$7)</f>
        <v>0</v>
      </c>
      <c r="AA13" s="122">
        <f>1.25*SUM(AA$6:AA$7)</f>
        <v>0</v>
      </c>
      <c r="AB13" s="122">
        <f>1.25*(SUM(AB$6:AB$7)+Y$17*MAX(0,AA$49-Y$49)+Z$17*MAX(0,AA$49-Z$49))</f>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f>SUM('Pt 1 Summary of Data'!E$5:E$7)+SUM('Pt 1 Summary of Data'!G$5:G$7)-SUM('Pt 1 Summary of Data'!H$5:H$7)-SUM(E$9:E$11)+D$55</f>
        <v>0</v>
      </c>
      <c r="F15" s="113">
        <f>SUM(C15:E15)</f>
        <v>0</v>
      </c>
      <c r="G15" s="114">
        <f>SUM('Pt 1 Summary of Data'!I$5:I$7)-SUM(G$9:G$10)</f>
        <v>0</v>
      </c>
      <c r="H15" s="124">
        <v>2946575.94</v>
      </c>
      <c r="I15" s="125">
        <v>2464960.7400000002</v>
      </c>
      <c r="J15" s="113">
        <f>SUM('Pt 1 Summary of Data'!K$5:K$7)+SUM('Pt 1 Summary of Data'!M$5:M$7)-SUM('Pt 1 Summary of Data'!N$5:N$7)-SUM(J$10:J$11)+I$55</f>
        <v>1776406.44</v>
      </c>
      <c r="K15" s="113">
        <f>SUM(H15:J15)</f>
        <v>7187943.1199999992</v>
      </c>
      <c r="L15" s="114">
        <f>SUM('Pt 1 Summary of Data'!O$5:O$7)-L$10</f>
        <v>0</v>
      </c>
      <c r="M15" s="124">
        <v>90843.46</v>
      </c>
      <c r="N15" s="125"/>
      <c r="O15" s="113">
        <f>SUM('Pt 1 Summary of Data'!Q$5:Q$7)+SUM('Pt 1 Summary of Data'!S$5:S$7)-SUM('Pt 1 Summary of Data'!T$5:T$7)+N$55</f>
        <v>0</v>
      </c>
      <c r="P15" s="113">
        <f>SUM(M15:O15)</f>
        <v>90843.46</v>
      </c>
      <c r="Q15" s="124"/>
      <c r="R15" s="125"/>
      <c r="S15" s="113">
        <f>SUM('Pt 1 Summary of Data'!V$5:V$7)+R$55</f>
        <v>0</v>
      </c>
      <c r="T15" s="113">
        <f>SUM(Q15:S15)</f>
        <v>0</v>
      </c>
      <c r="U15" s="124"/>
      <c r="V15" s="125"/>
      <c r="W15" s="113">
        <f>SUM('Pt 1 Summary of Data'!Y$5:Y$7)+V$55</f>
        <v>0</v>
      </c>
      <c r="X15" s="113">
        <f>SUM(U15:W15)</f>
        <v>0</v>
      </c>
      <c r="Y15" s="124"/>
      <c r="Z15" s="125"/>
      <c r="AA15" s="113">
        <f>SUM('Pt 1 Summary of Data'!AB$5:AB$7)+Z$55</f>
        <v>0</v>
      </c>
      <c r="AB15" s="113">
        <f>SUM(Y15:AA15)</f>
        <v>0</v>
      </c>
      <c r="AC15" s="354"/>
      <c r="AD15" s="353"/>
      <c r="AE15" s="353"/>
      <c r="AF15" s="353"/>
      <c r="AG15" s="354"/>
      <c r="AH15" s="353"/>
      <c r="AI15" s="353"/>
      <c r="AJ15" s="353"/>
      <c r="AK15" s="354"/>
      <c r="AL15" s="125"/>
      <c r="AM15" s="113"/>
      <c r="AN15" s="261"/>
    </row>
    <row r="16" spans="1:40" x14ac:dyDescent="0.2">
      <c r="B16" s="198" t="s">
        <v>313</v>
      </c>
      <c r="C16" s="116"/>
      <c r="D16" s="117"/>
      <c r="E16" s="122">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2">
        <f>SUM(C16:E16)</f>
        <v>0</v>
      </c>
      <c r="G16" s="123">
        <f>SUM('Pt 1 Summary of Data'!I$25:I$28,'Pt 1 Summary of Data'!I$30,'Pt 1 Summary of Data'!I$34:I$35)+IF('Company Information'!$C$15="No",IF(MAX('Pt 1 Summary of Data'!I$31:I$32)=0,MIN('Pt 1 Summary of Data'!I$31:I$32),MAX('Pt 1 Summary of Data'!I$31:I$32)),SUM('Pt 1 Summary of Data'!I$31:I$32))</f>
        <v>0</v>
      </c>
      <c r="H16" s="116">
        <v>717692</v>
      </c>
      <c r="I16" s="117">
        <v>502393</v>
      </c>
      <c r="J16" s="122">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163806.83358300003</v>
      </c>
      <c r="K16" s="122">
        <f>SUM(H16:J16)</f>
        <v>1383891.8335830001</v>
      </c>
      <c r="L16" s="123">
        <f>SUM('Pt 1 Summary of Data'!O$25:O$28,'Pt 1 Summary of Data'!O$30,'Pt 1 Summary of Data'!O$34:O$35)+IF('Company Information'!$C$15="No",IF(MAX('Pt 1 Summary of Data'!O$31:O$32)=0,MIN('Pt 1 Summary of Data'!O$31:O$32),MAX('Pt 1 Summary of Data'!O$31:O$32)),SUM('Pt 1 Summary of Data'!O$31:O$32))</f>
        <v>0</v>
      </c>
      <c r="M16" s="116">
        <v>22930</v>
      </c>
      <c r="N16" s="117">
        <v>-3390</v>
      </c>
      <c r="O16" s="122">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-5.9999999999995439E-2</v>
      </c>
      <c r="P16" s="122">
        <f>SUM(M16:O16)</f>
        <v>19539.939999999999</v>
      </c>
      <c r="Q16" s="116"/>
      <c r="R16" s="117"/>
      <c r="S16" s="122">
        <f>SUM('Pt 1 Summary of Data'!V$25:V$28,'Pt 1 Summary of Data'!V$30,'Pt 1 Summary of Data'!V$34:V$35)+IF('Company Information'!$C$15="No",IF(MAX('Pt 1 Summary of Data'!V$31:V$32)=0,MIN('Pt 1 Summary of Data'!V$31:V$32),MAX('Pt 1 Summary of Data'!V$31:V$32)),SUM('Pt 1 Summary of Data'!V$31:V$32))+R$56</f>
        <v>0</v>
      </c>
      <c r="T16" s="122">
        <f>SUM(Q16:S16)</f>
        <v>0</v>
      </c>
      <c r="U16" s="116"/>
      <c r="V16" s="117"/>
      <c r="W16" s="122">
        <f>SUM('Pt 1 Summary of Data'!Y$25:Y$28,'Pt 1 Summary of Data'!Y$30,'Pt 1 Summary of Data'!Y$34:Y$35)+IF('Company Information'!$C$15="No",IF(MAX('Pt 1 Summary of Data'!Y$31:Y$32)=0,MIN('Pt 1 Summary of Data'!Y$31:Y$32),MAX('Pt 1 Summary of Data'!Y$31:Y$32)),SUM('Pt 1 Summary of Data'!Y$31:Y$32))+V$56</f>
        <v>0</v>
      </c>
      <c r="X16" s="122">
        <f>SUM(U16:W16)</f>
        <v>0</v>
      </c>
      <c r="Y16" s="116"/>
      <c r="Z16" s="117"/>
      <c r="AA16" s="122">
        <f>SUM('Pt 1 Summary of Data'!AB$25:AB$28,'Pt 1 Summary of Data'!AB$30,'Pt 1 Summary of Data'!AB$34:AB$35)+IF('Company Information'!$C$15="No",IF(MAX('Pt 1 Summary of Data'!AB$31:AB$32)=0,MIN('Pt 1 Summary of Data'!AB$31:AB$32),MAX('Pt 1 Summary of Data'!AB$31:AB$32)),SUM('Pt 1 Summary of Data'!AB$31:AB$32))+Z$56</f>
        <v>0</v>
      </c>
      <c r="AB16" s="122">
        <f>SUM(Y16:AA16)</f>
        <v>0</v>
      </c>
      <c r="AC16" s="299"/>
      <c r="AD16" s="295"/>
      <c r="AE16" s="295"/>
      <c r="AF16" s="295"/>
      <c r="AG16" s="299"/>
      <c r="AH16" s="295"/>
      <c r="AI16" s="295"/>
      <c r="AJ16" s="295"/>
      <c r="AK16" s="299"/>
      <c r="AL16" s="117"/>
      <c r="AM16" s="122"/>
      <c r="AN16" s="260"/>
    </row>
    <row r="17" spans="1:40" s="83" customFormat="1" x14ac:dyDescent="0.2">
      <c r="A17" s="150"/>
      <c r="B17" s="199" t="s">
        <v>320</v>
      </c>
      <c r="C17" s="121">
        <f>C$15-C$16+IF(AND(OR('Company Information'!$C$12="District of Columbia",'Company Information'!$C$12="Massachusetts",'Company Information'!$C$12="Vermont"),SUM($C$6:$F$11,$C$15:$F$16,$C$37:$D$37)&lt;&gt;0),H$15-H$16,0)</f>
        <v>0</v>
      </c>
      <c r="D17" s="122">
        <f>D$15-D$16+IF(AND(OR('Company Information'!$C$12="District of Columbia",'Company Information'!$C$12="Massachusetts",'Company Information'!$C$12="Vermont"),SUM($C$6:$F$11,$C$15:$F$16,$C$37:$D$37)&lt;&gt;0),I$15-I$16,0)</f>
        <v>0</v>
      </c>
      <c r="E17" s="122">
        <f>E$15-E$16+IF(AND(OR('Company Information'!$C$12="District of Columbia",'Company Information'!$C$12="Massachusetts",'Company Information'!$C$12="Vermont"),SUM($C$6:$F$11,$C$15:$F$16,$C$37:$D$37)&lt;&gt;0),J$15-J$16,0)</f>
        <v>0</v>
      </c>
      <c r="F17" s="122">
        <f>F$15-F$16+IF(AND(OR('Company Information'!$C$12="District of Columbia",'Company Information'!$C$12="Massachusetts",'Company Information'!$C$12="Vermont"),SUM($C$6:$F$11,$C$15:$F$16,$C$37:$D$37)&lt;&gt;0),K$15-K$16,0)</f>
        <v>0</v>
      </c>
      <c r="G17" s="321"/>
      <c r="H17" s="121">
        <f>H$15-H$16+IF(AND(OR('Company Information'!$C$12="District of Columbia",'Company Information'!$C$12="Massachusetts",'Company Information'!$C$12="Vermont"),SUM($H$6:$K$11,$H$15:$K$16,$H$37:$I$37)&lt;&gt;0),C$15-C$16,0)</f>
        <v>2228883.94</v>
      </c>
      <c r="I17" s="122">
        <f>I$15-I$16+IF(AND(OR('Company Information'!$C$12="District of Columbia",'Company Information'!$C$12="Massachusetts",'Company Information'!$C$12="Vermont"),SUM($H$6:$K$11,$H$15:$K$16,$H$37:$I$37)&lt;&gt;0),D$15-D$16,0)</f>
        <v>1962567.7400000002</v>
      </c>
      <c r="J17" s="122">
        <f>J$15-J$16+IF(AND(OR('Company Information'!$C$12="District of Columbia",'Company Information'!$C$12="Massachusetts",'Company Information'!$C$12="Vermont"),SUM($H$6:$K$11,$H$15:$K$16,$H$37:$I$37)&lt;&gt;0),E$15-E$16,0)</f>
        <v>1612599.6064169998</v>
      </c>
      <c r="K17" s="122">
        <f>K$15-K$16+IF(AND(OR('Company Information'!$C$12="District of Columbia",'Company Information'!$C$12="Massachusetts",'Company Information'!$C$12="Vermont"),SUM($H$6:$K$11,$H$15:$K$16,$H$37:$I$37)&lt;&gt;0),F$15-F$16,0)</f>
        <v>5804051.2864169991</v>
      </c>
      <c r="L17" s="321"/>
      <c r="M17" s="121">
        <f>M$15-M$16</f>
        <v>67913.460000000006</v>
      </c>
      <c r="N17" s="122">
        <f>N$15-N$16</f>
        <v>3390</v>
      </c>
      <c r="O17" s="122">
        <f>O$15-O$16</f>
        <v>5.9999999999995439E-2</v>
      </c>
      <c r="P17" s="122">
        <f>P$15-P$16</f>
        <v>71303.520000000004</v>
      </c>
      <c r="Q17" s="121">
        <f>Q$15-Q$16+IF(AND(OR('Company Information'!$C$12="District of Columbia",'Company Information'!$C$12="Massachusetts",'Company Information'!$C$12="Vermont"),SUM($Q$6:$T$7,$Q$15:$T$16,$Q$37:$R$37)&lt;&gt;0),U$15-U$16,0)</f>
        <v>0</v>
      </c>
      <c r="R17" s="122">
        <f>R$15-R$16+IF(AND(OR('Company Information'!$C$12="District of Columbia",'Company Information'!$C$12="Massachusetts",'Company Information'!$C$12="Vermont"),SUM($Q$6:$T$7,$Q$15:$T$16,$Q$37:$R$37)&lt;&gt;0),V$15-V$16,0)</f>
        <v>0</v>
      </c>
      <c r="S17" s="122">
        <f>S$15-S$16+IF(AND(OR('Company Information'!$C$12="District of Columbia",'Company Information'!$C$12="Massachusetts",'Company Information'!$C$12="Vermont"),SUM($Q$6:$T$7,$Q$15:$T$16,$Q$37:$R$37)&lt;&gt;0),W$15-W$16,0)</f>
        <v>0</v>
      </c>
      <c r="T17" s="122">
        <f>T$15-T$16+IF(AND(OR('Company Information'!$C$12="District of Columbia",'Company Information'!$C$12="Massachusetts",'Company Information'!$C$12="Vermont"),SUM($Q$6:$T$7,$Q$15:$T$16,$Q$37:$R$37)&lt;&gt;0),X$15-X$16,0)</f>
        <v>0</v>
      </c>
      <c r="U17" s="121">
        <f>U$15-U$16+IF(AND(OR('Company Information'!$C$12="District of Columbia",'Company Information'!$C$12="Massachusetts",'Company Information'!$C$12="Vermont"),SUM($U$6:$X$7,$U$15:$X$16,$U$37:$V$37)&lt;&gt;0),Q$15-Q$16,0)</f>
        <v>0</v>
      </c>
      <c r="V17" s="122">
        <f>V$15-V$16+IF(AND(OR('Company Information'!$C$12="District of Columbia",'Company Information'!$C$12="Massachusetts",'Company Information'!$C$12="Vermont"),SUM($U$6:$X$7,$U$15:$X$16,$U$37:$V$37)&lt;&gt;0),R$15-R$16,0)</f>
        <v>0</v>
      </c>
      <c r="W17" s="122">
        <f>W$15-W$16+IF(AND(OR('Company Information'!$C$12="District of Columbia",'Company Information'!$C$12="Massachusetts",'Company Information'!$C$12="Vermont"),SUM($U$6:$X$7,$U$15:$X$16,$U$37:$V$37)&lt;&gt;0),S$15-S$16,0)</f>
        <v>0</v>
      </c>
      <c r="X17" s="122">
        <f>X$15-X$16+IF(AND(OR('Company Information'!$C$12="District of Columbia",'Company Information'!$C$12="Massachusetts",'Company Information'!$C$12="Vermont"),SUM($U$6:$X$7,$U$15:$X$16,$U$37:$V$37)&lt;&gt;0),T$15-T$16,0)</f>
        <v>0</v>
      </c>
      <c r="Y17" s="121">
        <f>Y$15-Y$16</f>
        <v>0</v>
      </c>
      <c r="Z17" s="122">
        <f>Z$15-Z$16</f>
        <v>0</v>
      </c>
      <c r="AA17" s="122">
        <f>AA$15-AA$16</f>
        <v>0</v>
      </c>
      <c r="AB17" s="122">
        <f>AB$15-AB$16</f>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f>SUM(G$6:G$7)-SUM(G$8:G$10)+IF(AND(OR('Company Information'!$C$12="District of Columbia",'Company Information'!$C$12="Massachusetts",'Company Information'!$C$12="Vermont"),SUM($G$6:$G$10,$G$15:$G$16)&lt;&gt;0),SUM(L$6:L$7)-L$10,0)</f>
        <v>0</v>
      </c>
      <c r="H19" s="354"/>
      <c r="I19" s="353"/>
      <c r="J19" s="353"/>
      <c r="K19" s="353"/>
      <c r="L19" s="114">
        <f>SUM(L$6:L$7)-L$10+IF(AND(OR('Company Information'!$C$12="District of Columbia",'Company Information'!$C$12="Massachusetts",'Company Information'!$C$12="Vermont"),SUM($L$6:$L$10,$L$15:$L$16)&lt;&gt;0),SUM(G$6:G$7)-SUM(G$8:G$10),0)</f>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f>SUM('Pt 1 Summary of Data'!I$44:I$47,'Pt 1 Summary of Data'!I$49:I$51)+IF(AND(OR('Company Information'!$C$12="District of Columbia",'Company Information'!$C$12="Massachusetts",'Company Information'!$C$12="Vermont"),SUM($G$6:$G$10,$G$15:$G$16)&lt;&gt;0),SUM('Pt 1 Summary of Data'!O$44:O$47,'Pt 1 Summary of Data'!O$49:O$51),0)</f>
        <v>0</v>
      </c>
      <c r="H20" s="299"/>
      <c r="I20" s="295"/>
      <c r="J20" s="295"/>
      <c r="K20" s="295"/>
      <c r="L20" s="123">
        <f>SUM('Pt 1 Summary of Data'!O$44:O$47,'Pt 1 Summary of Data'!O$49:O$51)+IF(AND(OR('Company Information'!$C$12="District of Columbia",'Company Information'!$C$12="Massachusetts",'Company Information'!$C$12="Vermont"),SUM($L$6:$L$10,$L$15:$L$16)&lt;&gt;0),SUM('Pt 1 Summary of Data'!I$44:I$47,'Pt 1 Summary of Data'!I$49:I$51),0)</f>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9"/>
      <c r="I21" s="295"/>
      <c r="J21" s="295"/>
      <c r="K21" s="295"/>
      <c r="L21" s="262">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f>MAX(MAX(0,G$24),MAX(0,G$25))</f>
        <v>0</v>
      </c>
      <c r="H23" s="299"/>
      <c r="I23" s="295"/>
      <c r="J23" s="295"/>
      <c r="K23" s="295"/>
      <c r="L23" s="123">
        <f>MAX(MAX(0,L$24),MAX(0,L$25))</f>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f>G$15-G$19-G$16-G$20+IF(AND(OR('Company Information'!$C$12="District of Columbia",'Company Information'!$C$12="Massachusetts",'Company Information'!$C$12="Vermont"),SUM($G$6:$G$10,$G$15:$G$16)&lt;&gt;0),L$15-L$16,0)</f>
        <v>0</v>
      </c>
      <c r="H24" s="299"/>
      <c r="I24" s="295"/>
      <c r="J24" s="295"/>
      <c r="K24" s="295"/>
      <c r="L24" s="123">
        <f>L$15-L$19-L$16-L$20+IF(AND(OR('Company Information'!$C$12="District of Columbia",'Company Information'!$C$12="Massachusetts",'Company Information'!$C$12="Vermont"),SUM($L$6:$L$10,$L$15:$L$16)&lt;&gt;0),G$15-G$16,0)</f>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f>(3%+G$22)*(G$15-G$16+IF(AND(OR('Company Information'!$C$12="District of Columbia",'Company Information'!$C$12="Massachusetts",'Company Information'!$C$12="Vermont"),SUM($G$6:$G$10,$G$15:$G$16)&lt;&gt;0),L$15-L$16,0))</f>
        <v>0</v>
      </c>
      <c r="H25" s="299"/>
      <c r="I25" s="295"/>
      <c r="J25" s="295"/>
      <c r="K25" s="295"/>
      <c r="L25" s="123">
        <f>(3%+L$22)*(L$15-L$16+IF(AND(OR('Company Information'!$C$12="District of Columbia",'Company Information'!$C$12="Massachusetts",'Company Information'!$C$12="Vermont"),SUM($L$6:$L$10,$L$15:$L$16)&lt;&gt;0),G$15-G$16,0))</f>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f>MIN(MAX(0,G$27),MAX(0,G$28))</f>
        <v>0</v>
      </c>
      <c r="H26" s="299"/>
      <c r="I26" s="295"/>
      <c r="J26" s="295"/>
      <c r="K26" s="295"/>
      <c r="L26" s="123">
        <f>MIN(MAX(0,L$27),MAX(0,L$28))</f>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f>G$20+G$23+G$16+IF(AND(OR('Company Information'!$C$12="District of Columbia",'Company Information'!$C$12="Massachusetts",'Company Information'!$C$12="Vermont"),SUM($G$6:$G$10,$G$15:$G$16)&lt;&gt;0),L$16,0)</f>
        <v>0</v>
      </c>
      <c r="H27" s="299"/>
      <c r="I27" s="295"/>
      <c r="J27" s="295"/>
      <c r="K27" s="295"/>
      <c r="L27" s="123">
        <f>L$20+L$23+L$16+IF(AND(OR('Company Information'!$C$12="District of Columbia",'Company Information'!$C$12="Massachusetts",'Company Information'!$C$12="Vermont"),SUM($L$6:$L$10,$L$15:$L$16)&lt;&gt;0),G$16,0)</f>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9"/>
      <c r="I28" s="295"/>
      <c r="J28" s="295"/>
      <c r="K28" s="295"/>
      <c r="L28" s="123">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9"/>
      <c r="I29" s="295"/>
      <c r="J29" s="295"/>
      <c r="K29" s="295"/>
      <c r="L29" s="123">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f>G$15+IF(AND(OR('Company Information'!$C$12="District of Columbia",'Company Information'!$C$12="Massachusetts",'Company Information'!$C$12="Vermont"),SUM($G$6:$G$10,$G$15:$G$16)&lt;&gt;0),L$15,0)-G$26</f>
        <v>0</v>
      </c>
      <c r="H30" s="299"/>
      <c r="I30" s="295"/>
      <c r="J30" s="295"/>
      <c r="K30" s="295"/>
      <c r="L30" s="123">
        <f>L$15+IF(AND(OR('Company Information'!$C$12="District of Columbia",'Company Information'!$C$12="Massachusetts",'Company Information'!$C$12="Vermont"),SUM($L$6:$L$10,$L$15:$L$16)&lt;&gt;0),G$15,0)-L$26</f>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f>MIN(MAX(0,G$27),MAX(0,G$29))</f>
        <v>0</v>
      </c>
      <c r="H31" s="299"/>
      <c r="I31" s="295"/>
      <c r="J31" s="295"/>
      <c r="K31" s="295"/>
      <c r="L31" s="123">
        <f>MIN(MAX(0,L$27),MAX(0,L$29))</f>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f>G$15+IF(AND(OR('Company Information'!$C$12="District of Columbia",'Company Information'!$C$12="Massachusetts",'Company Information'!$C$12="Vermont"),SUM($G$6:$G$10,$G$15:$G$16)&lt;&gt;0),L$15,0)-G$31</f>
        <v>0</v>
      </c>
      <c r="H32" s="299"/>
      <c r="I32" s="295"/>
      <c r="J32" s="295"/>
      <c r="K32" s="295"/>
      <c r="L32" s="123">
        <f>L$15+IF(AND(OR('Company Information'!$C$12="District of Columbia",'Company Information'!$C$12="Massachusetts",'Company Information'!$C$12="Vermont"),SUM($L$6:$L$10,$L$15:$L$16)&lt;&gt;0),G$15,0)-L$31</f>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f>IF(G$32=0,0,G$19/G$32)</f>
        <v>0</v>
      </c>
      <c r="H33" s="361"/>
      <c r="I33" s="362"/>
      <c r="J33" s="362"/>
      <c r="K33" s="362"/>
      <c r="L33" s="382">
        <f>IF(L$32=0,0,L$19/L$32)</f>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3">
        <f>SUM(C$37:E$37)+IF(AND(OR('Company Information'!$C$12="District of Columbia",'Company Information'!$C$12="Massachusetts",'Company Information'!$C$12="Vermont"),SUM($C$6:$F$11,$C$15:$F$16,$C$37:$D$37)&lt;&gt;0,SUM(C$37:D$37)&lt;&gt;SUM(H$37:I$37)),SUM(H$37:I$37),0)</f>
        <v>0</v>
      </c>
      <c r="G37" s="319"/>
      <c r="H37" s="128">
        <v>191.08333333333334</v>
      </c>
      <c r="I37" s="129">
        <v>144</v>
      </c>
      <c r="J37" s="263">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89.916666666666671</v>
      </c>
      <c r="K37" s="263">
        <f>SUM(H$37:J$37)+IF(AND(OR('Company Information'!$C$12="District of Columbia",'Company Information'!$C$12="Massachusetts",'Company Information'!$C$12="Vermont"),SUM($H$6:$K$11,$H$15:$K$16,$H$37:$I$37)&lt;&gt;0,SUM(H$37:I$37)&lt;&gt;SUM(C$37:D$37)),SUM(C$37:D$37),0)</f>
        <v>425.00000000000006</v>
      </c>
      <c r="L37" s="319"/>
      <c r="M37" s="128">
        <v>6</v>
      </c>
      <c r="N37" s="129"/>
      <c r="O37" s="263">
        <f>('Pt 1 Summary of Data'!Q$59+'Pt 1 Summary of Data'!S$59-'Pt 1 Summary of Data'!T$59)/12</f>
        <v>0</v>
      </c>
      <c r="P37" s="263">
        <f>SUM(M$37:O$37)</f>
        <v>6</v>
      </c>
      <c r="Q37" s="128"/>
      <c r="R37" s="129"/>
      <c r="S37" s="263">
        <f>'Pt 1 Summary of Data'!V$59/12+IF(AND(OR('Company Information'!$C$12="District of Columbia",'Company Information'!$C$12="Massachusetts",'Company Information'!$C$12="Vermont"),SUM($Q$6:$T$7,$Q$15:$T$16,$Q$37:$R$37)&lt;&gt;0),'Pt 1 Summary of Data'!Y$59,0)/12</f>
        <v>0</v>
      </c>
      <c r="T37" s="263">
        <f>SUM(Q$37:S$37)+IF(AND(OR('Company Information'!$C$12="District of Columbia",'Company Information'!$C$12="Massachusetts",'Company Information'!$C$12="Vermont"),SUM($Q$6:$T$7,$Q$15:$T$16,$Q$37:$R$37)&lt;&gt;0,SUM(Q$37:R$37)&lt;&gt;SUM(U$37:V$37)),SUM(U$37:V$37),0)</f>
        <v>0</v>
      </c>
      <c r="U37" s="128"/>
      <c r="V37" s="129"/>
      <c r="W37" s="263">
        <f>'Pt 1 Summary of Data'!Y$59/12+IF(AND(OR('Company Information'!$C$12="District of Columbia",'Company Information'!$C$12="Massachusetts",'Company Information'!$C$12="Vermont"),SUM($U$6:$X$7,$U$15:$X$16,$U$37:$V$37)&lt;&gt;0),'Pt 1 Summary of Data'!V$59,0)/12</f>
        <v>0</v>
      </c>
      <c r="X37" s="263">
        <f>SUM(U$37:W$37)+IF(AND(OR('Company Information'!$C$12="District of Columbia",'Company Information'!$C$12="Massachusetts",'Company Information'!$C$12="Vermont"),SUM($U$6:$X$7,$U$15:$X$16,$U$37:$V$37)&lt;&gt;0,SUM(U$37:V$37)&lt;&gt;SUM(Q$37:R$37)),SUM(Q$37:R$37),0)</f>
        <v>0</v>
      </c>
      <c r="Y37" s="128"/>
      <c r="Z37" s="129"/>
      <c r="AA37" s="263">
        <f>'Pt 1 Summary of Data'!AB$59/12</f>
        <v>0</v>
      </c>
      <c r="AB37" s="263">
        <f>SUM(Y$37:AA$37)</f>
        <v>0</v>
      </c>
      <c r="AC37" s="354"/>
      <c r="AD37" s="353"/>
      <c r="AE37" s="353"/>
      <c r="AF37" s="353"/>
      <c r="AG37" s="354"/>
      <c r="AH37" s="353"/>
      <c r="AI37" s="353"/>
      <c r="AJ37" s="353"/>
      <c r="AK37" s="354"/>
      <c r="AL37" s="129"/>
      <c r="AM37" s="263"/>
      <c r="AN37" s="264"/>
    </row>
    <row r="38" spans="1:40" x14ac:dyDescent="0.2">
      <c r="B38" s="198" t="s">
        <v>322</v>
      </c>
      <c r="C38" s="358"/>
      <c r="D38" s="359"/>
      <c r="E38" s="359"/>
      <c r="F38" s="274">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60"/>
      <c r="H38" s="358"/>
      <c r="I38" s="359"/>
      <c r="J38" s="359"/>
      <c r="K38" s="274">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60"/>
      <c r="M38" s="358"/>
      <c r="N38" s="359"/>
      <c r="O38" s="359"/>
      <c r="P38" s="274">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8"/>
      <c r="R38" s="359"/>
      <c r="S38" s="359"/>
      <c r="T38" s="274">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8"/>
      <c r="V38" s="359"/>
      <c r="W38" s="359"/>
      <c r="X38" s="274">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8"/>
      <c r="Z38" s="359"/>
      <c r="AA38" s="359"/>
      <c r="AB38" s="274">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8"/>
      <c r="H40" s="299"/>
      <c r="I40" s="295"/>
      <c r="J40" s="295"/>
      <c r="K40" s="265">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8"/>
      <c r="M40" s="299"/>
      <c r="N40" s="295"/>
      <c r="O40" s="295"/>
      <c r="P40" s="265">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9"/>
      <c r="R40" s="295"/>
      <c r="S40" s="295"/>
      <c r="T40" s="265">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9"/>
      <c r="V40" s="295"/>
      <c r="W40" s="295"/>
      <c r="X40" s="265">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9"/>
      <c r="Z40" s="295"/>
      <c r="AA40" s="295"/>
      <c r="AB40" s="265">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9"/>
      <c r="AD40" s="295"/>
      <c r="AE40" s="295"/>
      <c r="AF40" s="295"/>
      <c r="AG40" s="299"/>
      <c r="AH40" s="295"/>
      <c r="AI40" s="295"/>
      <c r="AJ40" s="295"/>
      <c r="AK40" s="299"/>
      <c r="AL40" s="295"/>
      <c r="AM40" s="295"/>
      <c r="AN40" s="266"/>
    </row>
    <row r="41" spans="1:40" x14ac:dyDescent="0.2">
      <c r="B41" s="198" t="s">
        <v>325</v>
      </c>
      <c r="C41" s="299"/>
      <c r="D41" s="295"/>
      <c r="E41" s="295"/>
      <c r="F41" s="267">
        <f>IF(OR(F$37&lt;1000,F$37&gt;=75000),0,F$38*F$40)</f>
        <v>0</v>
      </c>
      <c r="G41" s="318"/>
      <c r="H41" s="299"/>
      <c r="I41" s="295"/>
      <c r="J41" s="295"/>
      <c r="K41" s="267">
        <f>IF(OR(K$37&lt;1000,K$37&gt;=75000),0,K$38*K$40)</f>
        <v>0</v>
      </c>
      <c r="L41" s="318"/>
      <c r="M41" s="299"/>
      <c r="N41" s="295"/>
      <c r="O41" s="295"/>
      <c r="P41" s="267">
        <f>IF(OR(P$37&lt;1000,P$37&gt;=75000),0,P$38*P$40)</f>
        <v>0</v>
      </c>
      <c r="Q41" s="299"/>
      <c r="R41" s="295"/>
      <c r="S41" s="295"/>
      <c r="T41" s="267">
        <f>IF(OR(T$37&lt;1000,T$37&gt;=75000),0,T$38*T$40)</f>
        <v>0</v>
      </c>
      <c r="U41" s="299"/>
      <c r="V41" s="295"/>
      <c r="W41" s="295"/>
      <c r="X41" s="267">
        <f>IF(OR(X$37&lt;1000,X$37&gt;=75000),0,X$38*X$40)</f>
        <v>0</v>
      </c>
      <c r="Y41" s="299"/>
      <c r="Z41" s="295"/>
      <c r="AA41" s="295"/>
      <c r="AB41" s="267">
        <f>IF(OR(AB$37&lt;1000,AB$37&gt;=75000),0,AB$38*AB$40)</f>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tr">
        <f>IF(OR(C$37&lt;1000,C$17&lt;=0),"",C$12/C$17)</f>
        <v/>
      </c>
      <c r="D44" s="267" t="str">
        <f>IF(OR(D$37&lt;1000,D$17&lt;=0),"",D$12/D$17)</f>
        <v/>
      </c>
      <c r="E44" s="267" t="str">
        <f>IF(OR(E$37&lt;1000,E$17&lt;=0),"",E$12/E$17)</f>
        <v/>
      </c>
      <c r="F44" s="267" t="str">
        <f>IF(OR(F$37&lt;1000,F$17&lt;=0),"",F$12/F$17)</f>
        <v/>
      </c>
      <c r="G44" s="318"/>
      <c r="H44" s="269" t="str">
        <f>IF(OR(H$37&lt;1000,H$17&lt;=0),"",H$12/H$17)</f>
        <v/>
      </c>
      <c r="I44" s="267" t="str">
        <f>IF(OR(I$37&lt;1000,I$17&lt;=0),"",I$12/I$17)</f>
        <v/>
      </c>
      <c r="J44" s="267" t="str">
        <f>IF(OR(J$37&lt;1000,J$17&lt;=0),"",J$12/J$17)</f>
        <v/>
      </c>
      <c r="K44" s="267" t="str">
        <f>IF(OR(K$37&lt;1000,K$17&lt;=0),"",K$12/K$17)</f>
        <v/>
      </c>
      <c r="L44" s="318"/>
      <c r="M44" s="269" t="str">
        <f>IF(OR(M$37&lt;1000,M$17&lt;=0),"",M$12/M$17)</f>
        <v/>
      </c>
      <c r="N44" s="267" t="str">
        <f>IF(OR(N$37&lt;1000,N$17&lt;=0),"",N$12/N$17)</f>
        <v/>
      </c>
      <c r="O44" s="267" t="str">
        <f>IF(OR(O$37&lt;1000,O$17&lt;=0),"",O$12/O$17)</f>
        <v/>
      </c>
      <c r="P44" s="267" t="str">
        <f>IF(OR(P$37&lt;1000,P$17&lt;=0),"",P$12/P$17)</f>
        <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tr">
        <f>IF(OR(Q$37&lt;1000,Q$17&lt;=0),"",Q$13/Q$17)</f>
        <v/>
      </c>
      <c r="R45" s="267" t="str">
        <f>IF(OR(R$37&lt;1000,R$17&lt;=0),"",R$13/R$17)</f>
        <v/>
      </c>
      <c r="S45" s="267" t="str">
        <f>IF(OR(S$37&lt;1000,S$17&lt;=0),"",S$13/S$17)</f>
        <v/>
      </c>
      <c r="T45" s="267" t="str">
        <f>IF(OR(T$37&lt;1000,T$17&lt;=0),"",T$13/T$17)</f>
        <v/>
      </c>
      <c r="U45" s="269" t="str">
        <f>IF(OR(U$37&lt;1000,U$17&lt;=0),"",U$13/U$17)</f>
        <v/>
      </c>
      <c r="V45" s="267" t="str">
        <f>IF(OR(V$37&lt;1000,V$17&lt;=0),"",V$13/V$17)</f>
        <v/>
      </c>
      <c r="W45" s="267" t="str">
        <f>IF(OR(W$37&lt;1000,W$17&lt;=0),"",W$13/W$17)</f>
        <v/>
      </c>
      <c r="X45" s="267" t="str">
        <f>IF(OR(X$37&lt;1000,X$17&lt;=0),"",X$13/X$17)</f>
        <v/>
      </c>
      <c r="Y45" s="269" t="str">
        <f>IF(OR(Y$37&lt;1000,Y$17&lt;=0),"",Y$13/Y$17)</f>
        <v/>
      </c>
      <c r="Z45" s="267" t="str">
        <f>IF(OR(Z$37&lt;1000,Z$17&lt;=0),"",Z$13/Z$17)</f>
        <v/>
      </c>
      <c r="AA45" s="267" t="str">
        <f>IF(OR(AA$37&lt;1000,AA$17&lt;=0),"",AA$13/AA$17)</f>
        <v/>
      </c>
      <c r="AB45" s="267" t="str">
        <f>IF(OR(AB$37&lt;1000,AB$17&lt;=0),"",AB$13/AB$17)</f>
        <v/>
      </c>
      <c r="AC45" s="299"/>
      <c r="AD45" s="295"/>
      <c r="AE45" s="295"/>
      <c r="AF45" s="295"/>
      <c r="AG45" s="299"/>
      <c r="AH45" s="295"/>
      <c r="AI45" s="295"/>
      <c r="AJ45" s="295"/>
      <c r="AK45" s="299"/>
      <c r="AL45" s="267"/>
      <c r="AM45" s="267"/>
      <c r="AN45" s="268"/>
    </row>
    <row r="46" spans="1:40" x14ac:dyDescent="0.2">
      <c r="B46" s="204" t="s">
        <v>330</v>
      </c>
      <c r="C46" s="299"/>
      <c r="D46" s="295"/>
      <c r="E46" s="295"/>
      <c r="F46" s="267" t="str">
        <f>IF(F$44="","",F$41)</f>
        <v/>
      </c>
      <c r="G46" s="318"/>
      <c r="H46" s="299"/>
      <c r="I46" s="295"/>
      <c r="J46" s="295"/>
      <c r="K46" s="267" t="str">
        <f>IF(K$44="","",K$41)</f>
        <v/>
      </c>
      <c r="L46" s="318"/>
      <c r="M46" s="299"/>
      <c r="N46" s="295"/>
      <c r="O46" s="295"/>
      <c r="P46" s="267" t="str">
        <f>IF(P$44="","",P$41)</f>
        <v/>
      </c>
      <c r="Q46" s="300"/>
      <c r="R46" s="296"/>
      <c r="S46" s="296"/>
      <c r="T46" s="267" t="str">
        <f>IF(T$45="","",T$41)</f>
        <v/>
      </c>
      <c r="U46" s="300"/>
      <c r="V46" s="296"/>
      <c r="W46" s="296"/>
      <c r="X46" s="267" t="str">
        <f>IF(X$45="","",X$41)</f>
        <v/>
      </c>
      <c r="Y46" s="300"/>
      <c r="Z46" s="296"/>
      <c r="AA46" s="296"/>
      <c r="AB46" s="267" t="str">
        <f>IF(AB$45="","",AB$41)</f>
        <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tr">
        <f>IF(F$44="","",ROUND(F$44+MAX(0,F$46),3))</f>
        <v/>
      </c>
      <c r="G47" s="318"/>
      <c r="H47" s="299"/>
      <c r="I47" s="295"/>
      <c r="J47" s="295"/>
      <c r="K47" s="267" t="str">
        <f>IF(K$44="","",ROUND(K$44+MAX(0,K$46),3))</f>
        <v/>
      </c>
      <c r="L47" s="318"/>
      <c r="M47" s="299"/>
      <c r="N47" s="295"/>
      <c r="O47" s="295"/>
      <c r="P47" s="267" t="str">
        <f>IF(P$44="","",ROUND(P$44+MAX(0,P$46),3))</f>
        <v/>
      </c>
      <c r="Q47" s="299"/>
      <c r="R47" s="295"/>
      <c r="S47" s="295"/>
      <c r="T47" s="267" t="str">
        <f>IF(T$45="","",ROUND(T$45+MAX(0,T$46),3))</f>
        <v/>
      </c>
      <c r="U47" s="299"/>
      <c r="V47" s="295"/>
      <c r="W47" s="295"/>
      <c r="X47" s="267" t="str">
        <f>IF(X$45="","",ROUND(X$45+MAX(0,X$46),3))</f>
        <v/>
      </c>
      <c r="Y47" s="299"/>
      <c r="Z47" s="295"/>
      <c r="AA47" s="295"/>
      <c r="AB47" s="267" t="str">
        <f>IF(AB$45="","",ROUND(AB$45+MAX(0,AB$46),3))</f>
        <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f>IF('Company Information'!$C$12="","Please select a State",VLOOKUP('Company Information'!$C$12,'Reference Tables'!$D$3:$J$60,2,FALSE))</f>
        <v>0</v>
      </c>
      <c r="R49" s="148">
        <f>IF('Company Information'!$C$12="","Please select a State",VLOOKUP('Company Information'!$C$12,'Reference Tables'!$D$3:$J$60,4,FALSE))</f>
        <v>0</v>
      </c>
      <c r="S49" s="148">
        <f>IF('Company Information'!$C$12="","Please select a State",VLOOKUP('Company Information'!$C$12,'Reference Tables'!$D$3:$J$60,6,FALSE))</f>
        <v>0</v>
      </c>
      <c r="T49" s="148">
        <f>S$49</f>
        <v>0</v>
      </c>
      <c r="U49" s="147">
        <f>IF('Company Information'!$C$12="","Please select a State",VLOOKUP('Company Information'!$C$12,'Reference Tables'!$D$3:$J$60,3,FALSE))</f>
        <v>2016</v>
      </c>
      <c r="V49" s="148">
        <f>IF('Company Information'!$C$12="","Please select a State",VLOOKUP('Company Information'!$C$12,'Reference Tables'!$D$3:$J$60,5,FALSE))</f>
        <v>0</v>
      </c>
      <c r="W49" s="148">
        <f>IF('Company Information'!$C$12="","Please select a State",VLOOKUP('Company Information'!$C$12,'Reference Tables'!$D$3:$J$60,7,FALSE))</f>
        <v>0</v>
      </c>
      <c r="X49" s="148">
        <f>W$49</f>
        <v>0</v>
      </c>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tr">
        <f>F$47</f>
        <v/>
      </c>
      <c r="G50" s="318"/>
      <c r="H50" s="300"/>
      <c r="I50" s="296"/>
      <c r="J50" s="296"/>
      <c r="K50" s="267" t="str">
        <f>K$47</f>
        <v/>
      </c>
      <c r="L50" s="318"/>
      <c r="M50" s="300"/>
      <c r="N50" s="296"/>
      <c r="O50" s="296"/>
      <c r="P50" s="267" t="str">
        <f>P$47</f>
        <v/>
      </c>
      <c r="Q50" s="300"/>
      <c r="R50" s="296"/>
      <c r="S50" s="296"/>
      <c r="T50" s="267" t="str">
        <f>T$47</f>
        <v/>
      </c>
      <c r="U50" s="300"/>
      <c r="V50" s="296"/>
      <c r="W50" s="296"/>
      <c r="X50" s="267" t="str">
        <f>X$47</f>
        <v/>
      </c>
      <c r="Y50" s="300"/>
      <c r="Z50" s="296"/>
      <c r="AA50" s="296"/>
      <c r="AB50" s="267" t="str">
        <f>AB$47</f>
        <v/>
      </c>
      <c r="AC50" s="299"/>
      <c r="AD50" s="295"/>
      <c r="AE50" s="295"/>
      <c r="AF50" s="295"/>
      <c r="AG50" s="299"/>
      <c r="AH50" s="295"/>
      <c r="AI50" s="295"/>
      <c r="AJ50" s="295"/>
      <c r="AK50" s="299"/>
      <c r="AL50" s="296"/>
      <c r="AM50" s="296"/>
      <c r="AN50" s="268"/>
    </row>
    <row r="51" spans="1:40" x14ac:dyDescent="0.2">
      <c r="B51" s="202" t="s">
        <v>334</v>
      </c>
      <c r="C51" s="299"/>
      <c r="D51" s="295"/>
      <c r="E51" s="295"/>
      <c r="F51" s="122" t="str">
        <f>IF(F$37&lt;1000,"",MAX(0,E$15-E$16))</f>
        <v/>
      </c>
      <c r="G51" s="318"/>
      <c r="H51" s="299"/>
      <c r="I51" s="295"/>
      <c r="J51" s="295"/>
      <c r="K51" s="122" t="str">
        <f>IF(K$37&lt;1000,"",MAX(0,J$15-J$16))</f>
        <v/>
      </c>
      <c r="L51" s="318"/>
      <c r="M51" s="299"/>
      <c r="N51" s="295"/>
      <c r="O51" s="295"/>
      <c r="P51" s="122" t="str">
        <f>IF(P$37&lt;1000,"",MAX(0,O$15-O$16))</f>
        <v/>
      </c>
      <c r="Q51" s="299"/>
      <c r="R51" s="295"/>
      <c r="S51" s="295"/>
      <c r="T51" s="122" t="str">
        <f>IF(T$37&lt;1000,"",MAX(0,S$15-S$16))</f>
        <v/>
      </c>
      <c r="U51" s="299"/>
      <c r="V51" s="295"/>
      <c r="W51" s="295"/>
      <c r="X51" s="122" t="str">
        <f>IF(X$37&lt;1000,"",MAX(0,W$15-W$16))</f>
        <v/>
      </c>
      <c r="Y51" s="299"/>
      <c r="Z51" s="295"/>
      <c r="AA51" s="295"/>
      <c r="AB51" s="122" t="str">
        <f>IF(AB$37&lt;1000,"",MAX(0,AA$15-AA$16))</f>
        <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f>IF(OR(F$37&lt;1000,F$17&lt;=0),0,MAX(0,F$49-F$50)*F$51)</f>
        <v>0</v>
      </c>
      <c r="G52" s="318"/>
      <c r="H52" s="299"/>
      <c r="I52" s="295"/>
      <c r="J52" s="295"/>
      <c r="K52" s="122">
        <f>IF(OR(K$37&lt;1000,K$17&lt;=0),0,MAX(0,K$49-K$50)*K$51)</f>
        <v>0</v>
      </c>
      <c r="L52" s="318"/>
      <c r="M52" s="299"/>
      <c r="N52" s="295"/>
      <c r="O52" s="295"/>
      <c r="P52" s="122">
        <f>IF(OR(P$37&lt;1000,P$17&lt;=0),0,MAX(0,P$49-P$50)*P$51)</f>
        <v>0</v>
      </c>
      <c r="Q52" s="299"/>
      <c r="R52" s="295"/>
      <c r="S52" s="295"/>
      <c r="T52" s="122">
        <f>IF(OR(T$37&lt;1000,T$17&lt;=0),0,MAX(0,T$49-T$50)*T$51)</f>
        <v>0</v>
      </c>
      <c r="U52" s="299"/>
      <c r="V52" s="295"/>
      <c r="W52" s="295"/>
      <c r="X52" s="122">
        <f>IF(OR(X$37&lt;1000,X$17&lt;=0),0,MAX(0,X$49-X$50)*X$51)</f>
        <v>0</v>
      </c>
      <c r="Y52" s="299"/>
      <c r="Z52" s="295"/>
      <c r="AA52" s="295"/>
      <c r="AB52" s="122">
        <f>IF(OR(AB$37&lt;1000,AB$17&lt;=0),0,MAX(0,AB$49-AB$50)*AB$51)</f>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f>'Pt 1 Summary of Data'!$E$56+'Pt 1 Summary of Data'!$G$56-'Pt 1 Summary of Data'!$H$56</f>
        <v>0</v>
      </c>
      <c r="D4" s="156">
        <f>'Pt 1 Summary of Data'!$K$56+'Pt 1 Summary of Data'!$M$56-'Pt 1 Summary of Data'!$N$56</f>
        <v>33</v>
      </c>
      <c r="E4" s="156">
        <f>'Pt 1 Summary of Data'!$Q$56+'Pt 1 Summary of Data'!$S$56-'Pt 1 Summary of Data'!$T$56</f>
        <v>0</v>
      </c>
      <c r="F4" s="156">
        <f>'Pt 1 Summary of Data'!$V$56</f>
        <v>0</v>
      </c>
      <c r="G4" s="156">
        <f>'Pt 1 Summary of Data'!$Y$56</f>
        <v>0</v>
      </c>
      <c r="H4" s="156">
        <f>'Pt 1 Summary of Data'!$AB$56</f>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f>'Pt 3 MLR and Rebate Calculation'!$F$52</f>
        <v>0</v>
      </c>
      <c r="D11" s="126">
        <f>'Pt 3 MLR and Rebate Calculation'!$K$52</f>
        <v>0</v>
      </c>
      <c r="E11" s="126">
        <f>'Pt 3 MLR and Rebate Calculation'!$P$52</f>
        <v>0</v>
      </c>
      <c r="F11" s="126">
        <f>'Pt 3 MLR and Rebate Calculation'!$T$52</f>
        <v>0</v>
      </c>
      <c r="G11" s="126">
        <f>'Pt 3 MLR and Rebate Calculation'!$X$52</f>
        <v>0</v>
      </c>
      <c r="H11" s="126">
        <f>'Pt 3 MLR and Rebate Calculation'!$AB$52</f>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v>0</v>
      </c>
      <c r="D14" s="120">
        <v>0</v>
      </c>
      <c r="E14" s="120">
        <v>0</v>
      </c>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t="s">
        <v>507</v>
      </c>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1">
        <v>32143</v>
      </c>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