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AB38" i="10"/>
  <c r="X38" i="10"/>
  <c r="P38" i="10"/>
  <c r="AB37" i="10"/>
  <c r="AA37" i="10"/>
  <c r="X37" i="10"/>
  <c r="W37" i="10"/>
  <c r="T37" i="10"/>
  <c r="S37" i="10"/>
  <c r="P37" i="10"/>
  <c r="O37" i="10"/>
  <c r="L29" i="10"/>
  <c r="L28" i="10"/>
  <c r="L25" i="10"/>
  <c r="L21" i="10"/>
  <c r="L20" i="10"/>
  <c r="L19" i="10"/>
  <c r="L24" i="10" s="1"/>
  <c r="AB17" i="10"/>
  <c r="AA17" i="10"/>
  <c r="Z17" i="10"/>
  <c r="Y17" i="10"/>
  <c r="X17" i="10"/>
  <c r="W17" i="10"/>
  <c r="V17" i="10"/>
  <c r="X13" i="10" s="1"/>
  <c r="U17" i="10"/>
  <c r="T17" i="10"/>
  <c r="S17" i="10"/>
  <c r="R17" i="10"/>
  <c r="Q17" i="10"/>
  <c r="P17" i="10"/>
  <c r="O17" i="10"/>
  <c r="N17" i="10"/>
  <c r="M17" i="10"/>
  <c r="AB16" i="10"/>
  <c r="AA16" i="10"/>
  <c r="X16" i="10"/>
  <c r="W16" i="10"/>
  <c r="W13" i="10" s="1"/>
  <c r="T16" i="10"/>
  <c r="S16" i="10"/>
  <c r="P16" i="10"/>
  <c r="O16" i="10"/>
  <c r="L16" i="10"/>
  <c r="K16" i="10"/>
  <c r="J16" i="10"/>
  <c r="G16" i="10"/>
  <c r="F16" i="10"/>
  <c r="E16" i="10"/>
  <c r="AB15" i="10"/>
  <c r="AA15" i="10"/>
  <c r="X15" i="10"/>
  <c r="W15" i="10"/>
  <c r="T15" i="10"/>
  <c r="S15" i="10"/>
  <c r="P15" i="10"/>
  <c r="O15" i="10"/>
  <c r="L15" i="10"/>
  <c r="AB13" i="10"/>
  <c r="AA13" i="10"/>
  <c r="Z13" i="10"/>
  <c r="Y13" i="10"/>
  <c r="V13" i="10"/>
  <c r="U13" i="10"/>
  <c r="S13" i="10"/>
  <c r="R13" i="10"/>
  <c r="Q13" i="10"/>
  <c r="P12"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AA22" i="4" s="1"/>
  <c r="Z55" i="18"/>
  <c r="Y55" i="18"/>
  <c r="X55" i="18"/>
  <c r="X22" i="4" s="1"/>
  <c r="W55" i="18"/>
  <c r="W22" i="4" s="1"/>
  <c r="V55" i="18"/>
  <c r="V22" i="4" s="1"/>
  <c r="U55" i="18"/>
  <c r="T55" i="18"/>
  <c r="T22" i="4" s="1"/>
  <c r="S55" i="18"/>
  <c r="S22" i="4" s="1"/>
  <c r="R55" i="18"/>
  <c r="R22" i="4" s="1"/>
  <c r="Q55" i="18"/>
  <c r="P55" i="18"/>
  <c r="P22" i="4" s="1"/>
  <c r="O55" i="18"/>
  <c r="N55" i="18"/>
  <c r="N22" i="4" s="1"/>
  <c r="M55" i="18"/>
  <c r="M22" i="4" s="1"/>
  <c r="L55" i="18"/>
  <c r="L22" i="4" s="1"/>
  <c r="K55" i="18"/>
  <c r="K22" i="4" s="1"/>
  <c r="J55" i="18"/>
  <c r="I55" i="18"/>
  <c r="I22" i="4" s="1"/>
  <c r="H55" i="18"/>
  <c r="H22" i="4" s="1"/>
  <c r="G55" i="18"/>
  <c r="G22" i="4" s="1"/>
  <c r="F55" i="18"/>
  <c r="E55" i="18"/>
  <c r="D55" i="18"/>
  <c r="D22" i="4" s="1"/>
  <c r="AU54" i="18"/>
  <c r="AU12" i="4" s="1"/>
  <c r="AT54" i="18"/>
  <c r="AT12" i="4" s="1"/>
  <c r="AS54" i="18"/>
  <c r="AS12" i="4" s="1"/>
  <c r="AC54" i="18"/>
  <c r="AC12" i="4" s="1"/>
  <c r="AB54" i="18"/>
  <c r="AB12" i="4" s="1"/>
  <c r="AA54" i="18"/>
  <c r="AA12" i="4" s="1"/>
  <c r="Z54" i="18"/>
  <c r="Z12" i="4" s="1"/>
  <c r="Y54" i="18"/>
  <c r="X54" i="18"/>
  <c r="X12" i="4" s="1"/>
  <c r="W54" i="18"/>
  <c r="W12" i="4" s="1"/>
  <c r="V54" i="18"/>
  <c r="U54" i="18"/>
  <c r="T54" i="18"/>
  <c r="T12" i="4" s="1"/>
  <c r="S54" i="18"/>
  <c r="R54" i="18"/>
  <c r="R12" i="4" s="1"/>
  <c r="Q54" i="18"/>
  <c r="Q12" i="4" s="1"/>
  <c r="P54" i="18"/>
  <c r="P12" i="4" s="1"/>
  <c r="O54" i="18"/>
  <c r="N54" i="18"/>
  <c r="N12" i="4" s="1"/>
  <c r="M54" i="18"/>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Z22" i="4"/>
  <c r="Y22" i="4"/>
  <c r="U22" i="4"/>
  <c r="Q22" i="4"/>
  <c r="O22" i="4"/>
  <c r="J22" i="4"/>
  <c r="F22" i="4"/>
  <c r="E22" i="4"/>
  <c r="Y12" i="4"/>
  <c r="V12" i="4"/>
  <c r="U12" i="4"/>
  <c r="S12" i="4"/>
  <c r="O12" i="4"/>
  <c r="M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F15" i="10" s="1"/>
  <c r="J7" i="10"/>
  <c r="K7" i="10" s="1"/>
  <c r="J15" i="10"/>
  <c r="K15" i="10" s="1"/>
  <c r="G15" i="10"/>
  <c r="G19" i="10" s="1"/>
  <c r="E7" i="10"/>
  <c r="L23" i="10"/>
  <c r="L27" i="10" s="1"/>
  <c r="L31" i="10" s="1"/>
  <c r="L32" i="10" s="1"/>
  <c r="L33" i="10" s="1"/>
  <c r="X47" i="10"/>
  <c r="X50" i="10" s="1"/>
  <c r="T47" i="10"/>
  <c r="T50" i="10" s="1"/>
  <c r="T38" i="10"/>
  <c r="T13" i="10"/>
  <c r="L26" i="10"/>
  <c r="L30" i="10" s="1"/>
  <c r="I12" i="10" l="1"/>
  <c r="J17" i="10"/>
  <c r="J12" i="10"/>
  <c r="K17" i="10"/>
  <c r="I17" i="10"/>
  <c r="I44" i="10" s="1"/>
  <c r="H17" i="10"/>
  <c r="G20" i="10"/>
  <c r="H12" i="10"/>
  <c r="F7" i="10"/>
  <c r="D17" i="10" s="1"/>
  <c r="D44" i="10" s="1"/>
  <c r="E12" i="10"/>
  <c r="G28" i="10"/>
  <c r="G21" i="10"/>
  <c r="G29" i="10"/>
  <c r="G25" i="10"/>
  <c r="J37" i="10"/>
  <c r="E17" i="10" l="1"/>
  <c r="E44" i="10" s="1"/>
  <c r="C17" i="10"/>
  <c r="C12" i="10"/>
  <c r="F12" i="10" s="1"/>
  <c r="E37" i="10"/>
  <c r="F37" i="10" s="1"/>
  <c r="F17" i="10"/>
  <c r="D12" i="10"/>
  <c r="C44" i="10"/>
  <c r="K37" i="10"/>
  <c r="J44" i="10"/>
  <c r="H44" i="10"/>
  <c r="K12" i="10"/>
  <c r="G24" i="10"/>
  <c r="G23" i="10" s="1"/>
  <c r="G27" i="10" s="1"/>
  <c r="G31" i="10" l="1"/>
  <c r="G32" i="10" s="1"/>
  <c r="G33" i="10" s="1"/>
  <c r="G26" i="10"/>
  <c r="G30" i="10" s="1"/>
  <c r="K51" i="10"/>
  <c r="K52" i="10"/>
  <c r="D11" i="16" s="1"/>
  <c r="K44" i="10"/>
  <c r="K41" i="10"/>
  <c r="K38" i="10"/>
  <c r="F44" i="10"/>
  <c r="F51" i="10"/>
  <c r="F38" i="10"/>
  <c r="F52" i="10"/>
  <c r="C11" i="16" s="1"/>
  <c r="F41" i="10"/>
  <c r="F47" i="10" l="1"/>
  <c r="F50" i="10" s="1"/>
  <c r="F46" i="10"/>
  <c r="K47" i="10"/>
  <c r="K50" i="10" s="1"/>
  <c r="K46"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<sst xmlns="http://schemas.openxmlformats.org/spreadsheetml/2006/main" count="569" uniqueCount="508">
  <si>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</si>
  <si>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</si>
  <si>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</si>
  <si>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</si>
  <si>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</si>
  <si>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</si>
  <si>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</si>
  <si>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</si>
  <si>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</si>
  <si>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</si>
  <si>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</si>
  <si>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</si>
  <si>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</si>
  <si>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</si>
  <si>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</si>
  <si>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</si>
  <si>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</si>
  <si>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</si>
  <si>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</si>
  <si>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</si>
  <si>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</si>
  <si>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</si>
  <si>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</si>
  <si>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</si>
  <si>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</si>
  <si>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</si>
  <si>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</si>
  <si>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</si>
  <si>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</si>
  <si>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</si>
  <si>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</si>
  <si>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</si>
  <si>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</si>
  <si>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</si>
  <si>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</si>
  <si>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</si>
  <si>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</si>
  <si>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</si>
  <si>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</si>
  <si>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</si>
  <si>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</si>
  <si>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</si>
  <si>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</si>
  <si>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</si>
  <si>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</si>
  <si>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</si>
  <si>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</si>
  <si>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</si>
  <si>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</si>
  <si>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</si>
  <si>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</si>
  <si>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</si>
  <si>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</si>
  <si>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</si>
  <si>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</si>
  <si>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</si>
  <si>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</si>
  <si>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</si>
  <si>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</si>
  <si>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</si>
  <si>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</si>
  <si>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</si>
  <si>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</si>
  <si>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</si>
  <si>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</si>
  <si>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</si>
  <si>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</si>
  <si>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</si>
  <si>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</si>
  <si>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</si>
  <si>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</si>
  <si>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</si>
  <si>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</si>
  <si>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</si>
  <si>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</si>
  <si>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</si>
  <si>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</si>
  <si>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</si>
  <si>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</si>
  <si>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</si>
  <si>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</si>
  <si>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</si>
  <si>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</si>
  <si>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</si>
  <si>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</si>
  <si>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</si>
  <si>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</si>
  <si>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</si>
  <si>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</si>
  <si>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</si>
  <si>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</si>
  <si>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</si>
  <si>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</si>
  <si>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</si>
  <si>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</si>
  <si>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</si>
  <si>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</si>
  <si>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</si>
  <si>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</si>
  <si>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</si>
  <si>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</si>
  <si>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</si>
  <si>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</si>
  <si>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</si>
  <si>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</si>
  <si>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</si>
  <si>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</si>
  <si>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</si>
  <si>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</si>
  <si>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</si>
  <si>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</si>
  <si>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</si>
  <si>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</si>
  <si>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</si>
  <si>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</si>
  <si>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</si>
  <si>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</si>
  <si>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</si>
  <si>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</si>
  <si>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</si>
  <si>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</si>
  <si>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</si>
  <si>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</si>
  <si>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</si>
  <si>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</si>
  <si>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</si>
  <si>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</si>
  <si>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</si>
  <si>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</si>
  <si>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</si>
  <si>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</si>
  <si>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</si>
  <si>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</si>
  <si>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</si>
  <si>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</si>
  <si>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</si>
  <si>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</si>
  <si>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</si>
  <si>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</si>
  <si>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</si>
  <si>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</si>
  <si>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</si>
  <si>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</si>
  <si>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</si>
  <si>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</si>
  <si>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</si>
  <si>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</si>
  <si>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</si>
  <si>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</si>
  <si>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</si>
  <si>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</si>
  <si>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</si>
  <si>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</si>
  <si>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</si>
  <si>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</si>
  <si>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</si>
  <si>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</si>
  <si>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</si>
  <si>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</si>
  <si>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</si>
  <si>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</si>
  <si>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</si>
  <si>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</si>
  <si>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</si>
  <si>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</si>
  <si>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</si>
  <si>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</si>
  <si>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</si>
  <si>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</si>
  <si>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</si>
  <si>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</si>
  <si>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</si>
  <si>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</si>
  <si>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</si>
  <si>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</si>
  <si>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</si>
  <si>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</si>
  <si>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</si>
  <si>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</si>
  <si>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</si>
  <si>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</si>
  <si>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</si>
  <si>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</si>
  <si>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</si>
  <si>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</si>
  <si>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</si>
  <si>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</si>
  <si>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</si>
  <si>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</si>
  <si>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</si>
  <si>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</si>
  <si>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</si>
  <si>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</si>
  <si>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</si>
  <si>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</si>
  <si>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</si>
  <si>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</si>
  <si>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</si>
  <si>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</si>
  <si>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</si>
  <si>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</si>
  <si>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</si>
  <si>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</si>
  <si>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</si>
  <si>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</si>
  <si>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</si>
  <si>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</si>
  <si>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</si>
  <si>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</si>
  <si>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</si>
  <si>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</si>
  <si>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</si>
  <si>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</si>
  <si>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</si>
  <si>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</si>
  <si>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</si>
  <si>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</si>
  <si>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</si>
  <si>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</si>
  <si>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</si>
  <si>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</si>
  <si>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</si>
  <si>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</si>
  <si>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</si>
  <si>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</si>
  <si>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</si>
  <si>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</si>
  <si>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</si>
  <si>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</si>
  <si>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</si>
  <si>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</si>
  <si>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</si>
  <si>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</si>
  <si>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</si>
  <si>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</si>
  <si>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</si>
  <si>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</si>
  <si>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</si>
  <si>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</si>
  <si>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</si>
  <si>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</si>
  <si>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</si>
  <si>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</si>
  <si>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</si>
  <si>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</si>
  <si>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</si>
  <si>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</si>
  <si>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</si>
  <si>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</si>
  <si>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</si>
  <si>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</si>
  <si>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</si>
  <si>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</si>
  <si>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</si>
  <si>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</si>
  <si>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</si>
  <si>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</si>
  <si>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</si>
  <si>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</si>
  <si>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</si>
  <si>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</si>
  <si>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</si>
  <si>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</si>
  <si>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</si>
  <si>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</si>
  <si>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</si>
  <si>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</si>
  <si>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</si>
  <si>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</si>
  <si>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</si>
  <si>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</si>
  <si>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</si>
  <si>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</si>
  <si>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</si>
  <si>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</si>
  <si>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</si>
  <si>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</si>
  <si>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</si>
  <si>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</si>
  <si>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</si>
  <si>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</si>
  <si>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</si>
  <si>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</si>
  <si>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</si>
  <si>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</si>
  <si>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</si>
  <si>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</si>
  <si>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</si>
  <si>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</si>
  <si>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</si>
  <si>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</si>
  <si>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</si>
  <si>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</si>
  <si>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</si>
  <si>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</si>
  <si>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</si>
  <si>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</si>
  <si>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</si>
  <si>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</si>
  <si>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</si>
  <si>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</si>
  <si>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</si>
  <si>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</si>
  <si>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</si>
  <si>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</si>
  <si>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</si>
  <si>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</si>
  <si>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</si>
  <si>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</si>
  <si>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</si>
  <si>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</si>
  <si>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</si>
  <si>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</si>
  <si>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</si>
  <si>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</si>
  <si>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</si>
  <si>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</si>
  <si>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</si>
  <si>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</si>
  <si>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</si>
  <si>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</si>
  <si>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</si>
  <si>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</si>
  <si>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</si>
  <si>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</si>
  <si>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</si>
  <si>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</si>
  <si>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</si>
  <si>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</si>
  <si>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</si>
  <si>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</si>
  <si>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</si>
  <si>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</si>
  <si>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</si>
  <si>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</si>
  <si>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</si>
  <si>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</si>
  <si>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</si>
  <si>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</si>
  <si>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</si>
  <si>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</si>
  <si>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</si>
  <si>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</si>
  <si>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</si>
  <si>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</si>
  <si>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</si>
  <si>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</si>
  <si>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</si>
  <si>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</si>
  <si>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</si>
  <si>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</si>
  <si>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</si>
  <si>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</si>
  <si>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</si>
  <si>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</si>
  <si>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</si>
  <si>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</si>
  <si>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</si>
  <si>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</si>
  <si>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</si>
  <si>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</si>
  <si>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</si>
  <si>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</si>
  <si>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</si>
  <si>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</si>
  <si>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</si>
  <si>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</si>
  <si>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</si>
  <si>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</si>
  <si>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</si>
  <si>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</si>
  <si>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</si>
  <si>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</si>
  <si>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</si>
  <si>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</si>
  <si>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</si>
  <si>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</si>
  <si>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</si>
  <si>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</si>
  <si>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</si>
  <si>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</si>
  <si>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</si>
  <si>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</si>
  <si>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</si>
  <si>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</si>
  <si>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</si>
  <si>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</si>
  <si>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</si>
  <si>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</si>
  <si>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</si>
  <si>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</si>
  <si>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</si>
  <si>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</si>
  <si>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</si>
  <si>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</si>
  <si>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</si>
  <si>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</si>
  <si>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</si>
  <si>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</si>
  <si>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</si>
  <si>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</si>
  <si>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</si>
  <si>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</si>
  <si>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</si>
  <si>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</si>
  <si>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</si>
  <si>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</si>
  <si>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</si>
  <si>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</si>
  <si>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</si>
  <si>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</si>
  <si>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</si>
  <si>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</si>
  <si>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</si>
  <si>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</si>
  <si>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</si>
  <si>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</si>
  <si>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</si>
  <si>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</si>
  <si>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</si>
  <si>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</si>
  <si>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</si>
  <si>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</si>
  <si>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</si>
  <si>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</si>
  <si>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</si>
  <si>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</si>
  <si>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</si>
  <si>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</si>
  <si>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</si>
  <si>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</si>
  <si>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</si>
  <si>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</si>
  <si>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</si>
  <si>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</si>
  <si>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</si>
  <si>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</si>
  <si>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</si>
  <si>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</si>
  <si>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</si>
  <si>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</si>
  <si>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</si>
  <si>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</si>
  <si>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</si>
  <si>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</si>
  <si>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</si>
  <si>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</si>
  <si>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</si>
  <si>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</si>
  <si>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</si>
  <si>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</si>
  <si>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</si>
  <si>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</si>
  <si>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</si>
  <si>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</si>
  <si>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</si>
  <si>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</si>
  <si>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</si>
  <si>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</si>
  <si>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</si>
  <si>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</si>
  <si>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</si>
  <si>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</si>
  <si>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</si>
  <si>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</si>
  <si>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</si>
  <si>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</si>
  <si>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</si>
  <si>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</si>
  <si>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</si>
  <si>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</si>
  <si>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</si>
  <si>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</si>
  <si>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</si>
  <si>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</si>
  <si>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</si>
  <si>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</si>
  <si>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</si>
  <si>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</si>
  <si>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</si>
  <si>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</si>
  <si>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</si>
  <si>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</si>
  <si>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</si>
  <si>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</si>
  <si>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</si>
  <si>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</si>
  <si>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</si>
  <si>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</si>
  <si>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</si>
  <si>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</si>
  <si>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</si>
  <si>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</si>
  <si>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</si>
  <si>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</si>
  <si>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</si>
  <si>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</si>
  <si>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</si>
  <si>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</si>
  <si>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</si>
  <si>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</si>
  <si>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</si>
  <si>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</si>
  <si>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68744</t>
  </si>
  <si>
    <t>219</t>
  </si>
  <si>
    <t>LINCOLN NATIONAL LIFE INSURANCE CO</t>
  </si>
  <si>
    <t>Humana Medical Plan, Inc.</t>
  </si>
  <si>
    <t>Humana Health Insurance Company of Florida,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</si>
</sst>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139</v>
      </c>
    </row>
    <row r="13" spans="1:6" x14ac:dyDescent="0.2">
      <c r="B13" s="233" t="s">
        <v>50</v>
      </c>
      <c r="C13" s="379" t="s">
        <v>192</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0</v>
      </c>
      <c r="E5" s="107">
        <f>SUM('Pt 2 Premium and Claims'!E$5,'Pt 2 Premium and Claims'!E$6,-'Pt 2 Premium and Claims'!E$7,-'Pt 2 Premium and Claims'!E$13,'Pt 2 Premium and Claims'!E$14:'Pt 2 Premium and Claims'!E$17)</f>
        <v>0</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1782976</v>
      </c>
      <c r="K5" s="107">
        <f>SUM('Pt 2 Premium and Claims'!K$5,'Pt 2 Premium and Claims'!K$6,-'Pt 2 Premium and Claims'!K$7,-'Pt 2 Premium and Claims'!K$13,'Pt 2 Premium and Claims'!K$14,'Pt 2 Premium and Claims'!K$16:'Pt 2 Premium and Claims'!K$17)</f>
        <v>1788294.19</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315817048</v>
      </c>
      <c r="AT5" s="108">
        <f>SUM('Pt 2 Premium and Claims'!AT$5,'Pt 2 Premium and Claims'!AT$6,-'Pt 2 Premium and Claims'!AT$7,-'Pt 2 Premium and Claims'!AT$13,'Pt 2 Premium and Claims'!AT$14)</f>
        <v>19256703</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v>-3658</v>
      </c>
      <c r="K7" s="111">
        <v>-3658</v>
      </c>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v>-654</v>
      </c>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108617</v>
      </c>
      <c r="AT8" s="114">
        <v>-62746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0</v>
      </c>
      <c r="E12" s="107">
        <f>'Pt 2 Premium and Claims'!E$54</f>
        <v>0</v>
      </c>
      <c r="F12" s="107">
        <f>'Pt 2 Premium and Claims'!F$54</f>
        <v>0</v>
      </c>
      <c r="G12" s="107">
        <f>'Pt 2 Premium and Claims'!G$54</f>
        <v>0</v>
      </c>
      <c r="H12" s="107">
        <f>'Pt 2 Premium and Claims'!H$54</f>
        <v>0</v>
      </c>
      <c r="I12" s="106">
        <f>'Pt 2 Premium and Claims'!I$54</f>
        <v>0</v>
      </c>
      <c r="J12" s="106">
        <f>'Pt 2 Premium and Claims'!J$54</f>
        <v>1122119</v>
      </c>
      <c r="K12" s="107">
        <f>'Pt 2 Premium and Claims'!K$54</f>
        <v>1108870.8879679742</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-10884.558267974</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246193557</v>
      </c>
      <c r="AT12" s="108">
        <f>'Pt 2 Premium and Claims'!AT$54</f>
        <v>14059054</v>
      </c>
      <c r="AU12" s="108">
        <f>'Pt 2 Premium and Claims'!AU$54</f>
        <v>0</v>
      </c>
      <c r="AV12" s="313"/>
      <c r="AW12" s="318"/>
    </row>
    <row r="13" spans="1:49" ht="25.5" x14ac:dyDescent="0.2">
      <c r="B13" s="156" t="s">
        <v>230</v>
      </c>
      <c r="C13" s="63" t="s">
        <v>37</v>
      </c>
      <c r="D13" s="110"/>
      <c r="E13" s="111"/>
      <c r="F13" s="111"/>
      <c r="G13" s="290"/>
      <c r="H13" s="291"/>
      <c r="I13" s="110"/>
      <c r="J13" s="110">
        <v>62297</v>
      </c>
      <c r="K13" s="111">
        <v>62436.270000000004</v>
      </c>
      <c r="L13" s="111"/>
      <c r="M13" s="290"/>
      <c r="N13" s="291"/>
      <c r="O13" s="110"/>
      <c r="P13" s="110"/>
      <c r="Q13" s="111">
        <v>-21.39</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394219804</v>
      </c>
      <c r="AT13" s="114">
        <v>770</v>
      </c>
      <c r="AU13" s="114"/>
      <c r="AV13" s="312"/>
      <c r="AW13" s="319"/>
    </row>
    <row r="14" spans="1:49" ht="25.5" x14ac:dyDescent="0.2">
      <c r="B14" s="156" t="s">
        <v>231</v>
      </c>
      <c r="C14" s="63" t="s">
        <v>6</v>
      </c>
      <c r="D14" s="110"/>
      <c r="E14" s="111"/>
      <c r="F14" s="111"/>
      <c r="G14" s="289"/>
      <c r="H14" s="292"/>
      <c r="I14" s="110"/>
      <c r="J14" s="110">
        <v>9577</v>
      </c>
      <c r="K14" s="111">
        <v>9635.67</v>
      </c>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130006203</v>
      </c>
      <c r="AT14" s="114">
        <v>491</v>
      </c>
      <c r="AU14" s="114"/>
      <c r="AV14" s="312"/>
      <c r="AW14" s="319"/>
    </row>
    <row r="15" spans="1:49" ht="38.25" x14ac:dyDescent="0.2">
      <c r="B15" s="156" t="s">
        <v>232</v>
      </c>
      <c r="C15" s="63" t="s">
        <v>7</v>
      </c>
      <c r="D15" s="110"/>
      <c r="E15" s="111"/>
      <c r="F15" s="111"/>
      <c r="G15" s="289"/>
      <c r="H15" s="295"/>
      <c r="I15" s="110"/>
      <c r="J15" s="110">
        <v>58</v>
      </c>
      <c r="K15" s="111">
        <v>58</v>
      </c>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8992</v>
      </c>
      <c r="AT15" s="114">
        <v>685</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422210</v>
      </c>
      <c r="AT16" s="114">
        <v>-270938</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-300825</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137</v>
      </c>
      <c r="K22" s="116">
        <f>'Pt 2 Premium and Claims'!K$55</f>
        <v>137</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v>79010.412330000006</v>
      </c>
      <c r="K25" s="111">
        <v>79010.412330000006</v>
      </c>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5686112.2149999999</v>
      </c>
      <c r="AT25" s="114">
        <v>-186472.66329999999</v>
      </c>
      <c r="AU25" s="114"/>
      <c r="AV25" s="114"/>
      <c r="AW25" s="319"/>
    </row>
    <row r="26" spans="1:49" s="6" customFormat="1" x14ac:dyDescent="0.2">
      <c r="A26" s="36"/>
      <c r="B26" s="159" t="s">
        <v>243</v>
      </c>
      <c r="C26" s="63"/>
      <c r="D26" s="110"/>
      <c r="E26" s="111"/>
      <c r="F26" s="111"/>
      <c r="G26" s="111"/>
      <c r="H26" s="111"/>
      <c r="I26" s="110"/>
      <c r="J26" s="110"/>
      <c r="K26" s="111">
        <v>192.2</v>
      </c>
      <c r="L26" s="111"/>
      <c r="M26" s="111"/>
      <c r="N26" s="111"/>
      <c r="O26" s="110"/>
      <c r="P26" s="110"/>
      <c r="Q26" s="111">
        <v>0.13</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v>22130.55</v>
      </c>
      <c r="K27" s="111">
        <v>22130.55</v>
      </c>
      <c r="L27" s="111"/>
      <c r="M27" s="111"/>
      <c r="N27" s="111"/>
      <c r="O27" s="110"/>
      <c r="P27" s="110">
        <v>-0.12999999999999545</v>
      </c>
      <c r="Q27" s="111">
        <v>-0.12999999999999545</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4159602.8699999996</v>
      </c>
      <c r="AT27" s="114">
        <v>42897.8</v>
      </c>
      <c r="AU27" s="114"/>
      <c r="AV27" s="315"/>
      <c r="AW27" s="319"/>
    </row>
    <row r="28" spans="1:49" s="6" customFormat="1" x14ac:dyDescent="0.2">
      <c r="A28" s="36"/>
      <c r="B28" s="159" t="s">
        <v>245</v>
      </c>
      <c r="C28" s="63"/>
      <c r="D28" s="110"/>
      <c r="E28" s="111"/>
      <c r="F28" s="111"/>
      <c r="G28" s="111"/>
      <c r="H28" s="111"/>
      <c r="I28" s="110"/>
      <c r="J28" s="110">
        <v>5615.95</v>
      </c>
      <c r="K28" s="111">
        <v>5424.72</v>
      </c>
      <c r="L28" s="111"/>
      <c r="M28" s="111"/>
      <c r="N28" s="111"/>
      <c r="O28" s="110"/>
      <c r="P28" s="110">
        <v>0.13</v>
      </c>
      <c r="Q28" s="111">
        <v>0.01</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29581.199999999997</v>
      </c>
      <c r="AT28" s="114">
        <v>2805.76</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v>6000.0312530000037</v>
      </c>
      <c r="K30" s="111">
        <v>6556.751253000004</v>
      </c>
      <c r="L30" s="111"/>
      <c r="M30" s="111"/>
      <c r="N30" s="111"/>
      <c r="O30" s="110"/>
      <c r="P30" s="110">
        <v>-6.9999999999999993E-2</v>
      </c>
      <c r="Q30" s="111">
        <v>-6.9999999999999993E-2</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478723.40319999994</v>
      </c>
      <c r="AT30" s="114">
        <v>-5818.0715599999985</v>
      </c>
      <c r="AU30" s="114"/>
      <c r="AV30" s="114"/>
      <c r="AW30" s="319"/>
    </row>
    <row r="31" spans="1:49" x14ac:dyDescent="0.2">
      <c r="B31" s="159" t="s">
        <v>248</v>
      </c>
      <c r="C31" s="63"/>
      <c r="D31" s="110"/>
      <c r="E31" s="111"/>
      <c r="F31" s="111"/>
      <c r="G31" s="111"/>
      <c r="H31" s="111"/>
      <c r="I31" s="110"/>
      <c r="J31" s="110">
        <v>43718.25</v>
      </c>
      <c r="K31" s="111">
        <v>43718.25</v>
      </c>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3391.84</v>
      </c>
      <c r="AT31" s="114">
        <v>458478.95999999996</v>
      </c>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v>5253.6</v>
      </c>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v>1514.67</v>
      </c>
      <c r="K35" s="111">
        <v>1520.3500000000001</v>
      </c>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266300.42</v>
      </c>
      <c r="AT35" s="114">
        <v>25737.66</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v>1229</v>
      </c>
      <c r="K37" s="119">
        <v>1229.04</v>
      </c>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1224389</v>
      </c>
      <c r="AT37" s="120">
        <v>1045</v>
      </c>
      <c r="AU37" s="120"/>
      <c r="AV37" s="120"/>
      <c r="AW37" s="318"/>
    </row>
    <row r="38" spans="1:49" x14ac:dyDescent="0.2">
      <c r="B38" s="156" t="s">
        <v>255</v>
      </c>
      <c r="C38" s="63" t="s">
        <v>16</v>
      </c>
      <c r="D38" s="110"/>
      <c r="E38" s="111"/>
      <c r="F38" s="111"/>
      <c r="G38" s="111"/>
      <c r="H38" s="111"/>
      <c r="I38" s="110"/>
      <c r="J38" s="110">
        <v>586</v>
      </c>
      <c r="K38" s="111">
        <v>586.41</v>
      </c>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65802</v>
      </c>
      <c r="AT38" s="114">
        <v>31</v>
      </c>
      <c r="AU38" s="114"/>
      <c r="AV38" s="114"/>
      <c r="AW38" s="319"/>
    </row>
    <row r="39" spans="1:49" x14ac:dyDescent="0.2">
      <c r="B39" s="159" t="s">
        <v>256</v>
      </c>
      <c r="C39" s="63" t="s">
        <v>17</v>
      </c>
      <c r="D39" s="110"/>
      <c r="E39" s="111"/>
      <c r="F39" s="111"/>
      <c r="G39" s="111"/>
      <c r="H39" s="111"/>
      <c r="I39" s="110"/>
      <c r="J39" s="110">
        <v>904</v>
      </c>
      <c r="K39" s="111">
        <v>904.08</v>
      </c>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909944</v>
      </c>
      <c r="AT39" s="114">
        <v>7900</v>
      </c>
      <c r="AU39" s="114"/>
      <c r="AV39" s="114"/>
      <c r="AW39" s="319"/>
    </row>
    <row r="40" spans="1:49" x14ac:dyDescent="0.2">
      <c r="B40" s="159" t="s">
        <v>257</v>
      </c>
      <c r="C40" s="63" t="s">
        <v>38</v>
      </c>
      <c r="D40" s="110"/>
      <c r="E40" s="111"/>
      <c r="F40" s="111"/>
      <c r="G40" s="111"/>
      <c r="H40" s="111"/>
      <c r="I40" s="110"/>
      <c r="J40" s="110">
        <v>3184</v>
      </c>
      <c r="K40" s="111">
        <v>3183.6400000000003</v>
      </c>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59582</v>
      </c>
      <c r="AT40" s="114">
        <v>132864</v>
      </c>
      <c r="AU40" s="114"/>
      <c r="AV40" s="114"/>
      <c r="AW40" s="319"/>
    </row>
    <row r="41" spans="1:49" s="6" customFormat="1" ht="25.5" x14ac:dyDescent="0.2">
      <c r="A41" s="36"/>
      <c r="B41" s="159" t="s">
        <v>258</v>
      </c>
      <c r="C41" s="63" t="s">
        <v>129</v>
      </c>
      <c r="D41" s="110"/>
      <c r="E41" s="111"/>
      <c r="F41" s="111"/>
      <c r="G41" s="111"/>
      <c r="H41" s="111"/>
      <c r="I41" s="110"/>
      <c r="J41" s="110">
        <v>335</v>
      </c>
      <c r="K41" s="111">
        <v>334.78000000000003</v>
      </c>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2655580</v>
      </c>
      <c r="AT41" s="114">
        <v>35535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v>126980</v>
      </c>
      <c r="K44" s="119">
        <v>126980</v>
      </c>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5965980</v>
      </c>
      <c r="AT44" s="120">
        <v>50858</v>
      </c>
      <c r="AU44" s="120"/>
      <c r="AV44" s="120"/>
      <c r="AW44" s="318"/>
    </row>
    <row r="45" spans="1:49" x14ac:dyDescent="0.2">
      <c r="B45" s="162" t="s">
        <v>262</v>
      </c>
      <c r="C45" s="63" t="s">
        <v>19</v>
      </c>
      <c r="D45" s="110"/>
      <c r="E45" s="111"/>
      <c r="F45" s="111"/>
      <c r="G45" s="111"/>
      <c r="H45" s="111"/>
      <c r="I45" s="110"/>
      <c r="J45" s="110">
        <v>3063</v>
      </c>
      <c r="K45" s="111">
        <v>3063</v>
      </c>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6420867</v>
      </c>
      <c r="AT45" s="114">
        <v>283944</v>
      </c>
      <c r="AU45" s="114"/>
      <c r="AV45" s="114"/>
      <c r="AW45" s="319"/>
    </row>
    <row r="46" spans="1:49" x14ac:dyDescent="0.2">
      <c r="B46" s="162" t="s">
        <v>263</v>
      </c>
      <c r="C46" s="63" t="s">
        <v>20</v>
      </c>
      <c r="D46" s="110"/>
      <c r="E46" s="111"/>
      <c r="F46" s="111"/>
      <c r="G46" s="111"/>
      <c r="H46" s="111"/>
      <c r="I46" s="110"/>
      <c r="J46" s="110">
        <v>59655</v>
      </c>
      <c r="K46" s="111">
        <v>59655</v>
      </c>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7129507</v>
      </c>
      <c r="AT46" s="114">
        <v>345278</v>
      </c>
      <c r="AU46" s="114"/>
      <c r="AV46" s="114"/>
      <c r="AW46" s="319"/>
    </row>
    <row r="47" spans="1:49" x14ac:dyDescent="0.2">
      <c r="B47" s="162" t="s">
        <v>264</v>
      </c>
      <c r="C47" s="63" t="s">
        <v>21</v>
      </c>
      <c r="D47" s="110"/>
      <c r="E47" s="111"/>
      <c r="F47" s="111"/>
      <c r="G47" s="111"/>
      <c r="H47" s="111"/>
      <c r="I47" s="110"/>
      <c r="J47" s="110">
        <v>50056</v>
      </c>
      <c r="K47" s="111">
        <v>50056</v>
      </c>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341917</v>
      </c>
      <c r="AT47" s="114">
        <v>2044957</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v>670.17874699999993</v>
      </c>
      <c r="K49" s="111">
        <v>-5146.7912530000003</v>
      </c>
      <c r="L49" s="111"/>
      <c r="M49" s="111"/>
      <c r="N49" s="111"/>
      <c r="O49" s="110"/>
      <c r="P49" s="110">
        <v>0.01</v>
      </c>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1334062.2468000001</v>
      </c>
      <c r="AT49" s="114">
        <v>101895.77155999999</v>
      </c>
      <c r="AU49" s="114"/>
      <c r="AV49" s="114"/>
      <c r="AW49" s="319"/>
    </row>
    <row r="50" spans="2:49" ht="25.5" x14ac:dyDescent="0.2">
      <c r="B50" s="156" t="s">
        <v>266</v>
      </c>
      <c r="C50" s="63"/>
      <c r="D50" s="110"/>
      <c r="E50" s="111"/>
      <c r="F50" s="111"/>
      <c r="G50" s="111"/>
      <c r="H50" s="111"/>
      <c r="I50" s="110"/>
      <c r="J50" s="110">
        <v>67.459999999999994</v>
      </c>
      <c r="K50" s="111">
        <v>67.459999999999994</v>
      </c>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14775.5</v>
      </c>
      <c r="AT50" s="114">
        <v>1258.7799999999997</v>
      </c>
      <c r="AU50" s="114"/>
      <c r="AV50" s="114"/>
      <c r="AW50" s="319"/>
    </row>
    <row r="51" spans="2:49" x14ac:dyDescent="0.2">
      <c r="B51" s="156" t="s">
        <v>267</v>
      </c>
      <c r="C51" s="63"/>
      <c r="D51" s="110"/>
      <c r="E51" s="111"/>
      <c r="F51" s="111"/>
      <c r="G51" s="111"/>
      <c r="H51" s="111"/>
      <c r="I51" s="110"/>
      <c r="J51" s="110">
        <v>115577</v>
      </c>
      <c r="K51" s="111">
        <v>115577</v>
      </c>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24758854</v>
      </c>
      <c r="AT51" s="114">
        <v>2640716</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v>24</v>
      </c>
      <c r="K56" s="123">
        <v>33</v>
      </c>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379015</v>
      </c>
      <c r="AT56" s="124">
        <v>23634</v>
      </c>
      <c r="AU56" s="124"/>
      <c r="AV56" s="124"/>
      <c r="AW56" s="310"/>
    </row>
    <row r="57" spans="2:49" x14ac:dyDescent="0.2">
      <c r="B57" s="162" t="s">
        <v>273</v>
      </c>
      <c r="C57" s="63" t="s">
        <v>25</v>
      </c>
      <c r="D57" s="125"/>
      <c r="E57" s="126"/>
      <c r="F57" s="126"/>
      <c r="G57" s="126"/>
      <c r="H57" s="126"/>
      <c r="I57" s="125"/>
      <c r="J57" s="125">
        <v>70</v>
      </c>
      <c r="K57" s="126">
        <v>67</v>
      </c>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380692</v>
      </c>
      <c r="AT57" s="127">
        <v>50786</v>
      </c>
      <c r="AU57" s="127"/>
      <c r="AV57" s="127"/>
      <c r="AW57" s="311"/>
    </row>
    <row r="58" spans="2:49" x14ac:dyDescent="0.2">
      <c r="B58" s="162" t="s">
        <v>274</v>
      </c>
      <c r="C58" s="63" t="s">
        <v>26</v>
      </c>
      <c r="D58" s="331"/>
      <c r="E58" s="332"/>
      <c r="F58" s="332"/>
      <c r="G58" s="332"/>
      <c r="H58" s="332"/>
      <c r="I58" s="331"/>
      <c r="J58" s="125">
        <v>12</v>
      </c>
      <c r="K58" s="126">
        <v>12</v>
      </c>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5</v>
      </c>
      <c r="AT58" s="127">
        <v>860</v>
      </c>
      <c r="AU58" s="127"/>
      <c r="AV58" s="127"/>
      <c r="AW58" s="311"/>
    </row>
    <row r="59" spans="2:49" x14ac:dyDescent="0.2">
      <c r="B59" s="162" t="s">
        <v>275</v>
      </c>
      <c r="C59" s="63" t="s">
        <v>27</v>
      </c>
      <c r="D59" s="125"/>
      <c r="E59" s="126"/>
      <c r="F59" s="126"/>
      <c r="G59" s="126"/>
      <c r="H59" s="126"/>
      <c r="I59" s="125"/>
      <c r="J59" s="125">
        <v>1081</v>
      </c>
      <c r="K59" s="126">
        <v>1079</v>
      </c>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4598078</v>
      </c>
      <c r="AT59" s="127">
        <v>563456</v>
      </c>
      <c r="AU59" s="127"/>
      <c r="AV59" s="127"/>
      <c r="AW59" s="311"/>
    </row>
    <row r="60" spans="2:49" x14ac:dyDescent="0.2">
      <c r="B60" s="162" t="s">
        <v>276</v>
      </c>
      <c r="C60" s="63"/>
      <c r="D60" s="128">
        <f t="shared" ref="D60:AC60" si="0">D$59/12</f>
        <v>0</v>
      </c>
      <c r="E60" s="129">
        <f t="shared" si="0"/>
        <v>0</v>
      </c>
      <c r="F60" s="129">
        <f t="shared" si="0"/>
        <v>0</v>
      </c>
      <c r="G60" s="129">
        <f t="shared" si="0"/>
        <v>0</v>
      </c>
      <c r="H60" s="129">
        <f t="shared" si="0"/>
        <v>0</v>
      </c>
      <c r="I60" s="128">
        <f t="shared" si="0"/>
        <v>0</v>
      </c>
      <c r="J60" s="128">
        <f t="shared" si="0"/>
        <v>90.083333333333329</v>
      </c>
      <c r="K60" s="129">
        <f t="shared" si="0"/>
        <v>89.916666666666671</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383173.16666666669</v>
      </c>
      <c r="AT60" s="130">
        <f>AT$59/12</f>
        <v>46954.666666666664</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v>1782976</v>
      </c>
      <c r="K5" s="119">
        <v>1780064.44</v>
      </c>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315817048</v>
      </c>
      <c r="AT5" s="120">
        <v>19254714</v>
      </c>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31897.000000000004</v>
      </c>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29908</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-23819512</v>
      </c>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-3904057.0000000005</v>
      </c>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f>8197.35+100.82-68.42</f>
        <v>8229.75</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374078</v>
      </c>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13719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v>1025089</v>
      </c>
      <c r="K23" s="289"/>
      <c r="L23" s="289"/>
      <c r="M23" s="289"/>
      <c r="N23" s="289"/>
      <c r="O23" s="293"/>
      <c r="P23" s="110">
        <v>12209</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273610242</v>
      </c>
      <c r="AT23" s="114">
        <v>13183168</v>
      </c>
      <c r="AU23" s="114"/>
      <c r="AV23" s="312"/>
      <c r="AW23" s="319"/>
    </row>
    <row r="24" spans="2:49" ht="28.5" customHeight="1" x14ac:dyDescent="0.2">
      <c r="B24" s="179" t="s">
        <v>114</v>
      </c>
      <c r="C24" s="134"/>
      <c r="D24" s="294"/>
      <c r="E24" s="111"/>
      <c r="F24" s="111"/>
      <c r="G24" s="111"/>
      <c r="H24" s="111"/>
      <c r="I24" s="110"/>
      <c r="J24" s="294"/>
      <c r="K24" s="111">
        <v>1092754.4182679739</v>
      </c>
      <c r="L24" s="111"/>
      <c r="M24" s="111"/>
      <c r="N24" s="111"/>
      <c r="O24" s="110"/>
      <c r="P24" s="294"/>
      <c r="Q24" s="111">
        <v>-10253.778267974001</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v>144891</v>
      </c>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6104075</v>
      </c>
      <c r="AT26" s="114">
        <v>2343999</v>
      </c>
      <c r="AU26" s="114"/>
      <c r="AV26" s="312"/>
      <c r="AW26" s="319"/>
    </row>
    <row r="27" spans="2:49" s="6" customFormat="1" ht="25.5" x14ac:dyDescent="0.2">
      <c r="B27" s="179" t="s">
        <v>85</v>
      </c>
      <c r="C27" s="134"/>
      <c r="D27" s="294"/>
      <c r="E27" s="111"/>
      <c r="F27" s="111"/>
      <c r="G27" s="111"/>
      <c r="H27" s="111"/>
      <c r="I27" s="110"/>
      <c r="J27" s="294"/>
      <c r="K27" s="111">
        <v>25241.769700000008</v>
      </c>
      <c r="L27" s="111"/>
      <c r="M27" s="111"/>
      <c r="N27" s="111"/>
      <c r="O27" s="110"/>
      <c r="P27" s="294"/>
      <c r="Q27" s="111">
        <v>-21.39</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v>48613</v>
      </c>
      <c r="K28" s="290"/>
      <c r="L28" s="290"/>
      <c r="M28" s="290"/>
      <c r="N28" s="290"/>
      <c r="O28" s="294"/>
      <c r="P28" s="110">
        <v>12209</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4323445</v>
      </c>
      <c r="AT28" s="114">
        <v>1504975.0000000002</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v>510</v>
      </c>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813924</v>
      </c>
      <c r="AU30" s="114"/>
      <c r="AV30" s="312"/>
      <c r="AW30" s="319"/>
    </row>
    <row r="31" spans="2:49" s="6" customFormat="1" ht="25.5" x14ac:dyDescent="0.2">
      <c r="B31" s="179" t="s">
        <v>84</v>
      </c>
      <c r="C31" s="134"/>
      <c r="D31" s="294"/>
      <c r="E31" s="111"/>
      <c r="F31" s="111"/>
      <c r="G31" s="111"/>
      <c r="H31" s="111"/>
      <c r="I31" s="110"/>
      <c r="J31" s="294"/>
      <c r="K31" s="111">
        <v>510.37</v>
      </c>
      <c r="L31" s="111"/>
      <c r="M31" s="111"/>
      <c r="N31" s="111"/>
      <c r="O31" s="110"/>
      <c r="P31" s="294"/>
      <c r="Q31" s="111">
        <v>-609.39</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v>609</v>
      </c>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776916</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584806</v>
      </c>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-23819512</v>
      </c>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-3904057.0000000005</v>
      </c>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v>1263</v>
      </c>
      <c r="K49" s="111">
        <v>9635.67</v>
      </c>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31303691</v>
      </c>
      <c r="AT49" s="114">
        <v>230</v>
      </c>
      <c r="AU49" s="114"/>
      <c r="AV49" s="312"/>
      <c r="AW49" s="319"/>
    </row>
    <row r="50" spans="2:49" x14ac:dyDescent="0.2">
      <c r="B50" s="177" t="s">
        <v>119</v>
      </c>
      <c r="C50" s="134" t="s">
        <v>34</v>
      </c>
      <c r="D50" s="110"/>
      <c r="E50" s="290"/>
      <c r="F50" s="290"/>
      <c r="G50" s="290"/>
      <c r="H50" s="290"/>
      <c r="I50" s="294"/>
      <c r="J50" s="110">
        <v>2114</v>
      </c>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21437025</v>
      </c>
      <c r="AT50" s="114">
        <v>84</v>
      </c>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v>0</v>
      </c>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0</v>
      </c>
      <c r="E54" s="116">
        <f>E24+E27+E31+E35-E36+E39+E42+E45+E46-E49+E51+E52+E53</f>
        <v>0</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1122119</v>
      </c>
      <c r="K54" s="116">
        <f>K24+K27+K31+K35-K36+K39+K42+K45+K46-K49+K51+K52+K53</f>
        <v>1108870.8879679742</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-10884.558267974</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246193557</v>
      </c>
      <c r="AT54" s="117">
        <f>AT23+AT26-AT28+AT30-AT32+AT34-AT36+AT38+AT41-AT43+AT45+AT46-AT47-AT49+AT50+AT51+AT52+AT53</f>
        <v>14059054</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137</v>
      </c>
      <c r="K55" s="116">
        <f t="shared" si="0"/>
        <v>137</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v>812</v>
      </c>
      <c r="K56" s="111">
        <v>812</v>
      </c>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v>137</v>
      </c>
      <c r="K57" s="111">
        <v>137</v>
      </c>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125678</v>
      </c>
      <c r="AT57" s="114">
        <v>902</v>
      </c>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v>770360.37</v>
      </c>
      <c r="I5" s="119">
        <v>687599.55129999993</v>
      </c>
      <c r="J5" s="347"/>
      <c r="K5" s="347"/>
      <c r="L5" s="313"/>
      <c r="M5" s="118">
        <v>45022.780000000006</v>
      </c>
      <c r="N5" s="119">
        <v>609.39</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f>SUM('Pt 1 Summary of Data'!E$12,'Pt 1 Summary of Data'!E$22)+SUM('Pt 1 Summary of Data'!G$12,'Pt 1 Summary of Data'!G$22)-SUM('Pt 1 Summary of Data'!H$12,'Pt 1 Summary of Data'!H$22)</f>
        <v>0</v>
      </c>
      <c r="F6" s="116">
        <f t="shared" ref="F6:F11" si="0">SUM(C6:E6)</f>
        <v>0</v>
      </c>
      <c r="G6" s="117">
        <f>SUM('Pt 1 Summary of Data'!I$12,'Pt 1 Summary of Data'!I$22)</f>
        <v>0</v>
      </c>
      <c r="H6" s="110">
        <v>836849.91999999923</v>
      </c>
      <c r="I6" s="111">
        <v>757772.64849999989</v>
      </c>
      <c r="J6" s="116">
        <f>SUM('Pt 1 Summary of Data'!K$12,'Pt 1 Summary of Data'!K$22)+SUM('Pt 1 Summary of Data'!M$12,'Pt 1 Summary of Data'!M$22)-SUM('Pt 1 Summary of Data'!N$12,'Pt 1 Summary of Data'!N$22)</f>
        <v>1109007.8879679742</v>
      </c>
      <c r="K6" s="116">
        <f>SUM(H6:J6)</f>
        <v>2703630.4564679731</v>
      </c>
      <c r="L6" s="117">
        <f>SUM('Pt 1 Summary of Data'!O$12,'Pt 1 Summary of Data'!O$22)</f>
        <v>0</v>
      </c>
      <c r="M6" s="110">
        <v>44782.870000000024</v>
      </c>
      <c r="N6" s="111">
        <v>5763.39</v>
      </c>
      <c r="O6" s="116">
        <f>SUM('Pt 1 Summary of Data'!Q$12,'Pt 1 Summary of Data'!Q$22)+SUM('Pt 1 Summary of Data'!S$12,'Pt 1 Summary of Data'!S$22)-SUM('Pt 1 Summary of Data'!T$12,'Pt 1 Summary of Data'!T$22)</f>
        <v>-10884.558267974</v>
      </c>
      <c r="P6" s="116">
        <f>SUM(M6:O6)</f>
        <v>39661.70173202602</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v>17312.600000000002</v>
      </c>
      <c r="I7" s="111">
        <v>8303.9600000000009</v>
      </c>
      <c r="J7" s="116">
        <f>SUM('Pt 1 Summary of Data'!K$37:K$41)+SUM('Pt 1 Summary of Data'!M$37:M$41)-SUM('Pt 1 Summary of Data'!N$37:N$41)+MAX(0,MIN('Pt 1 Summary of Data'!K$42+'Pt 1 Summary of Data'!M$42-'Pt 1 Summary of Data'!N$42,0.3%*('Pt 1 Summary of Data'!K$5+'Pt 1 Summary of Data'!M$5-'Pt 1 Summary of Data'!N$5-SUM(J$10:J$11))))</f>
        <v>6237.95</v>
      </c>
      <c r="K7" s="116">
        <f>SUM(H7:J7)</f>
        <v>31854.510000000006</v>
      </c>
      <c r="L7" s="117">
        <f>SUM('Pt 1 Summary of Data'!O$37:O$41)+MAX(0,MIN('Pt 1 Summary of Data'!O$42,0.3%*('Pt 1 Summary of Data'!O$5-L$10)))</f>
        <v>0</v>
      </c>
      <c r="M7" s="110">
        <v>560.87</v>
      </c>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560.87</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8229.75</v>
      </c>
      <c r="K10" s="116">
        <f>SUM(H10:J10)</f>
        <v>8229.75</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0</v>
      </c>
      <c r="D12" s="116">
        <f>SUM(D$6:D$7)+IF(AND(OR('Company Information'!$C$12="District of Columbia",'Company Information'!$C$12="Massachusetts",'Company Information'!$C$12="Vermont"),SUM($C$6:$F$11,$C$15:$F$16,$C$37:$D$37)&lt;&gt;0),SUM(I$6:I$7),0)</f>
        <v>0</v>
      </c>
      <c r="E12" s="116">
        <f>SUM(E$6:E$7)-SUM(E$8:E$11)+IF(AND(OR('Company Information'!$C$12="District of Columbia",'Company Information'!$C$12="Massachusetts",'Company Information'!$C$12="Vermont"),SUM($C$6:$F$11,$C$15:$F$16,$C$37:$D$37)&lt;&gt;0),SUM(J$6:J$7)-SUM(J$10:J$11),0)</f>
        <v>0</v>
      </c>
      <c r="F12" s="116">
        <f>IFERROR(SUM(C$12:E$12)+C$17*MAX(0,E$49-C$49)+D$17*MAX(0,E$49-D$49),0)</f>
        <v>0</v>
      </c>
      <c r="G12" s="312"/>
      <c r="H12" s="115">
        <f>SUM(H$6:H$7)+IF(AND(OR('Company Information'!$C$12="District of Columbia",'Company Information'!$C$12="Massachusetts",'Company Information'!$C$12="Vermont"),SUM($H$6:$K$11,$H$15:$K$16,$H$37:$I$37)&lt;&gt;0),SUM(C$6:C$7),0)</f>
        <v>854162.5199999992</v>
      </c>
      <c r="I12" s="116">
        <f>SUM(I$6:I$7)+IF(AND(OR('Company Information'!$C$12="District of Columbia",'Company Information'!$C$12="Massachusetts",'Company Information'!$C$12="Vermont"),SUM($H$6:$K$11,$H$15:$K$16,$H$37:$I$37)&lt;&gt;0),SUM(D$6:D$7),0)</f>
        <v>766076.60849999986</v>
      </c>
      <c r="J12" s="116">
        <f>SUM(J$6:J$7)-SUM(J$10:J$11)+IF(AND(OR('Company Information'!$C$12="District of Columbia",'Company Information'!$C$12="Massachusetts",'Company Information'!$C$12="Vermont"),SUM($H$6:$K$11,$H$15:$K$16,$H$37:$I$37)&lt;&gt;0),SUM(E$6:E$7)-SUM(E$8:E$11),0)</f>
        <v>1107016.0879679741</v>
      </c>
      <c r="K12" s="116">
        <f>IFERROR(SUM(H$12:J$12)+H$17*MAX(0,J$49-H$49)+I$17*MAX(0,J$49-I$49),0)</f>
        <v>2727255.2164679733</v>
      </c>
      <c r="L12" s="312"/>
      <c r="M12" s="115">
        <f>SUM(M$6:M$7)</f>
        <v>45343.740000000027</v>
      </c>
      <c r="N12" s="116">
        <f>SUM(N$6:N$7)</f>
        <v>5763.39</v>
      </c>
      <c r="O12" s="116">
        <f>SUM(O$6:O$7)</f>
        <v>-10884.558267974</v>
      </c>
      <c r="P12" s="116">
        <f>SUM(M$12:O$12)+M$17*MAX(0,O$49-M$49)+N$17*MAX(0,O$49-N$49)</f>
        <v>40222.57173202603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f>SUM('Pt 1 Summary of Data'!E$5:E$7)+SUM('Pt 1 Summary of Data'!G$5:G$7)-SUM('Pt 1 Summary of Data'!H$5:H$7)-SUM(E$9:E$11)+D$55</f>
        <v>0</v>
      </c>
      <c r="F15" s="107">
        <f>SUM(C15:E15)</f>
        <v>0</v>
      </c>
      <c r="G15" s="108">
        <f>SUM('Pt 1 Summary of Data'!I$5:I$7)-SUM(G$9:G$10)</f>
        <v>0</v>
      </c>
      <c r="H15" s="118">
        <v>2946575.94</v>
      </c>
      <c r="I15" s="119">
        <v>2464960.7400000002</v>
      </c>
      <c r="J15" s="107">
        <f>SUM('Pt 1 Summary of Data'!K$5:K$7)+SUM('Pt 1 Summary of Data'!M$5:M$7)-SUM('Pt 1 Summary of Data'!N$5:N$7)-SUM(J$10:J$11)+I$55</f>
        <v>1776406.44</v>
      </c>
      <c r="K15" s="107">
        <f>SUM(H15:J15)</f>
        <v>7187943.1199999992</v>
      </c>
      <c r="L15" s="108">
        <f>SUM('Pt 1 Summary of Data'!O$5:O$7)-L$10</f>
        <v>0</v>
      </c>
      <c r="M15" s="118">
        <v>90843.46</v>
      </c>
      <c r="N15" s="119"/>
      <c r="O15" s="107">
        <f>SUM('Pt 1 Summary of Data'!Q$5:Q$7)+SUM('Pt 1 Summary of Data'!S$5:S$7)-SUM('Pt 1 Summary of Data'!T$5:T$7)+N$55</f>
        <v>0</v>
      </c>
      <c r="P15" s="107">
        <f>SUM(M15:O15)</f>
        <v>90843.46</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c r="D16" s="111"/>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6">
        <f>SUM(C16:E16)</f>
        <v>0</v>
      </c>
      <c r="G16" s="117">
        <f>SUM('Pt 1 Summary of Data'!I$25:I$28,'Pt 1 Summary of Data'!I$30,'Pt 1 Summary of Data'!I$34:I$35)+IF('Company Information'!$C$15="No",IF(MAX('Pt 1 Summary of Data'!I$31:I$32)=0,MIN('Pt 1 Summary of Data'!I$31:I$32),MAX('Pt 1 Summary of Data'!I$31:I$32)),SUM('Pt 1 Summary of Data'!I$31:I$32))</f>
        <v>0</v>
      </c>
      <c r="H16" s="110">
        <v>717692</v>
      </c>
      <c r="I16" s="111">
        <v>502393</v>
      </c>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163806.83358300003</v>
      </c>
      <c r="K16" s="116">
        <f>SUM(H16:J16)</f>
        <v>1383891.8335830001</v>
      </c>
      <c r="L16" s="117">
        <f>SUM('Pt 1 Summary of Data'!O$25:O$28,'Pt 1 Summary of Data'!O$30,'Pt 1 Summary of Data'!O$34:O$35)+IF('Company Information'!$C$15="No",IF(MAX('Pt 1 Summary of Data'!O$31:O$32)=0,MIN('Pt 1 Summary of Data'!O$31:O$32),MAX('Pt 1 Summary of Data'!O$31:O$32)),SUM('Pt 1 Summary of Data'!O$31:O$32))</f>
        <v>0</v>
      </c>
      <c r="M16" s="110">
        <v>22930</v>
      </c>
      <c r="N16" s="111">
        <v>-3390</v>
      </c>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-5.9999999999995439E-2</v>
      </c>
      <c r="P16" s="116">
        <f>SUM(M16:O16)</f>
        <v>19539.939999999999</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0</v>
      </c>
      <c r="D17" s="116">
        <f>D$15-D$16+IF(AND(OR('Company Information'!$C$12="District of Columbia",'Company Information'!$C$12="Massachusetts",'Company Information'!$C$12="Vermont"),SUM($C$6:$F$11,$C$15:$F$16,$C$37:$D$37)&lt;&gt;0),I$15-I$16,0)</f>
        <v>0</v>
      </c>
      <c r="E17" s="116">
        <f>E$15-E$16+IF(AND(OR('Company Information'!$C$12="District of Columbia",'Company Information'!$C$12="Massachusetts",'Company Information'!$C$12="Vermont"),SUM($C$6:$F$11,$C$15:$F$16,$C$37:$D$37)&lt;&gt;0),J$15-J$16,0)</f>
        <v>0</v>
      </c>
      <c r="F17" s="116">
        <f>F$15-F$16+IF(AND(OR('Company Information'!$C$12="District of Columbia",'Company Information'!$C$12="Massachusetts",'Company Information'!$C$12="Vermont"),SUM($C$6:$F$11,$C$15:$F$16,$C$37:$D$37)&lt;&gt;0),K$15-K$16,0)</f>
        <v>0</v>
      </c>
      <c r="G17" s="315"/>
      <c r="H17" s="115">
        <f>H$15-H$16+IF(AND(OR('Company Information'!$C$12="District of Columbia",'Company Information'!$C$12="Massachusetts",'Company Information'!$C$12="Vermont"),SUM($H$6:$K$11,$H$15:$K$16,$H$37:$I$37)&lt;&gt;0),C$15-C$16,0)</f>
        <v>2228883.94</v>
      </c>
      <c r="I17" s="116">
        <f>I$15-I$16+IF(AND(OR('Company Information'!$C$12="District of Columbia",'Company Information'!$C$12="Massachusetts",'Company Information'!$C$12="Vermont"),SUM($H$6:$K$11,$H$15:$K$16,$H$37:$I$37)&lt;&gt;0),D$15-D$16,0)</f>
        <v>1962567.7400000002</v>
      </c>
      <c r="J17" s="116">
        <f>J$15-J$16+IF(AND(OR('Company Information'!$C$12="District of Columbia",'Company Information'!$C$12="Massachusetts",'Company Information'!$C$12="Vermont"),SUM($H$6:$K$11,$H$15:$K$16,$H$37:$I$37)&lt;&gt;0),E$15-E$16,0)</f>
        <v>1612599.6064169998</v>
      </c>
      <c r="K17" s="116">
        <f>K$15-K$16+IF(AND(OR('Company Information'!$C$12="District of Columbia",'Company Information'!$C$12="Massachusetts",'Company Information'!$C$12="Vermont"),SUM($H$6:$K$11,$H$15:$K$16,$H$37:$I$37)&lt;&gt;0),F$15-F$16,0)</f>
        <v>5804051.2864169991</v>
      </c>
      <c r="L17" s="315"/>
      <c r="M17" s="115">
        <f>M$15-M$16</f>
        <v>67913.460000000006</v>
      </c>
      <c r="N17" s="116">
        <f>N$15-N$16</f>
        <v>3390</v>
      </c>
      <c r="O17" s="116">
        <f>O$15-O$16</f>
        <v>5.9999999999995439E-2</v>
      </c>
      <c r="P17" s="116">
        <f>P$15-P$16</f>
        <v>71303.520000000004</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7">
        <f>SUM(C$37:E$37)+IF(AND(OR('Company Information'!$C$12="District of Columbia",'Company Information'!$C$12="Massachusetts",'Company Information'!$C$12="Vermont"),SUM($C$6:$F$11,$C$15:$F$16,$C$37:$D$37)&lt;&gt;0,SUM(C$37:D$37)&lt;&gt;SUM(H$37:I$37)),SUM(H$37:I$37),0)</f>
        <v>0</v>
      </c>
      <c r="G37" s="313"/>
      <c r="H37" s="122">
        <v>191.08333333333334</v>
      </c>
      <c r="I37" s="123">
        <v>144</v>
      </c>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89.916666666666671</v>
      </c>
      <c r="K37" s="257">
        <f>SUM(H$37:J$37)+IF(AND(OR('Company Information'!$C$12="District of Columbia",'Company Information'!$C$12="Massachusetts",'Company Information'!$C$12="Vermont"),SUM($H$6:$K$11,$H$15:$K$16,$H$37:$I$37)&lt;&gt;0,SUM(H$37:I$37)&lt;&gt;SUM(C$37:D$37)),SUM(C$37:D$37),0)</f>
        <v>425.00000000000006</v>
      </c>
      <c r="L37" s="313"/>
      <c r="M37" s="122">
        <v>6</v>
      </c>
      <c r="N37" s="123"/>
      <c r="O37" s="257">
        <f>('Pt 1 Summary of Data'!Q$59+'Pt 1 Summary of Data'!S$59-'Pt 1 Summary of Data'!T$59)/12</f>
        <v>0</v>
      </c>
      <c r="P37" s="257">
        <f>SUM(M$37:O$37)</f>
        <v>6</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f>IF('Company Information'!$C$12="","Please select a State",VLOOKUP('Company Information'!$C$12,'Reference Tables'!$D$3:$J$60,2,FALSE))</f>
        <v>0</v>
      </c>
      <c r="R49" s="142">
        <f>IF('Company Information'!$C$12="","Please select a State",VLOOKUP('Company Information'!$C$12,'Reference Tables'!$D$3:$J$60,4,FALSE))</f>
        <v>0</v>
      </c>
      <c r="S49" s="142">
        <f>IF('Company Information'!$C$12="","Please select a State",VLOOKUP('Company Information'!$C$12,'Reference Tables'!$D$3:$J$60,6,FALSE))</f>
        <v>0</v>
      </c>
      <c r="T49" s="142">
        <f>S$49</f>
        <v>0</v>
      </c>
      <c r="U49" s="141">
        <f>IF('Company Information'!$C$12="","Please select a State",VLOOKUP('Company Information'!$C$12,'Reference Tables'!$D$3:$J$60,3,FALSE))</f>
        <v>2016</v>
      </c>
      <c r="V49" s="142">
        <f>IF('Company Information'!$C$12="","Please select a State",VLOOKUP('Company Information'!$C$12,'Reference Tables'!$D$3:$J$60,5,FALSE))</f>
        <v>0</v>
      </c>
      <c r="W49" s="142">
        <f>IF('Company Information'!$C$12="","Please select a State",VLOOKUP('Company Information'!$C$12,'Reference Tables'!$D$3:$J$60,7,FALSE))</f>
        <v>0</v>
      </c>
      <c r="X49" s="142">
        <f>W$49</f>
        <v>0</v>
      </c>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0</v>
      </c>
      <c r="D4" s="150">
        <f>'Pt 1 Summary of Data'!$K$56+'Pt 1 Summary of Data'!$M$56-'Pt 1 Summary of Data'!$N$56</f>
        <v>33</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t="s">
        <v>507</v>
      </c>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32143</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2015-09-09T19:15:20Z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