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K51" i="10"/>
  <c r="F51" i="10"/>
  <c r="AB50" i="10"/>
  <c r="P50" i="10"/>
  <c r="AB47" i="10"/>
  <c r="P47" i="10"/>
  <c r="AB46" i="10"/>
  <c r="P46" i="10"/>
  <c r="AB45" i="10"/>
  <c r="AA45" i="10"/>
  <c r="Z45" i="10"/>
  <c r="Y45" i="10"/>
  <c r="AB38" i="10" s="1"/>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AB40" i="10"/>
  <c r="X40" i="10"/>
  <c r="T40" i="10"/>
  <c r="P40" i="10"/>
  <c r="K40" i="10"/>
  <c r="F40" i="10"/>
  <c r="X38" i="10"/>
  <c r="T38" i="10"/>
  <c r="P38" i="10"/>
  <c r="K38" i="10"/>
  <c r="F38" i="10"/>
  <c r="AB37" i="10"/>
  <c r="AA37" i="10"/>
  <c r="X37" i="10"/>
  <c r="W37" i="10"/>
  <c r="T37" i="10"/>
  <c r="S37" i="10"/>
  <c r="P37" i="10"/>
  <c r="O37" i="10"/>
  <c r="K37" i="10"/>
  <c r="J37" i="10"/>
  <c r="F37" i="10"/>
  <c r="E37" i="10"/>
  <c r="L29" i="10"/>
  <c r="L28" i="10"/>
  <c r="L25" i="10"/>
  <c r="L24" i="10"/>
  <c r="L21" i="10"/>
  <c r="L20" i="10"/>
  <c r="L19" i="10"/>
  <c r="AB17" i="10"/>
  <c r="AA17" i="10"/>
  <c r="Z17" i="10"/>
  <c r="AB13" i="10" s="1"/>
  <c r="Y17" i="10"/>
  <c r="X17" i="10"/>
  <c r="W17" i="10"/>
  <c r="V17" i="10"/>
  <c r="U17" i="10"/>
  <c r="T17" i="10"/>
  <c r="S17" i="10"/>
  <c r="R17" i="10"/>
  <c r="Q17" i="10"/>
  <c r="T13" i="10" s="1"/>
  <c r="P17" i="10"/>
  <c r="O17" i="10"/>
  <c r="N17" i="10"/>
  <c r="M17" i="10"/>
  <c r="K17" i="10"/>
  <c r="J17" i="10"/>
  <c r="I17" i="10"/>
  <c r="H17" i="10"/>
  <c r="F17" i="10"/>
  <c r="E17" i="10"/>
  <c r="D17" i="10"/>
  <c r="C17" i="10"/>
  <c r="AB16" i="10"/>
  <c r="AA16" i="10"/>
  <c r="X16" i="10"/>
  <c r="W16" i="10"/>
  <c r="V13" i="10" s="1"/>
  <c r="T16" i="10"/>
  <c r="S13" i="10" s="1"/>
  <c r="S16" i="10"/>
  <c r="P16" i="10"/>
  <c r="O16" i="10"/>
  <c r="L16" i="10"/>
  <c r="K16" i="10"/>
  <c r="I12" i="10" s="1"/>
  <c r="J16" i="10"/>
  <c r="G16" i="10"/>
  <c r="F16" i="10"/>
  <c r="E16" i="10"/>
  <c r="E12" i="10" s="1"/>
  <c r="AB15" i="10"/>
  <c r="AA15" i="10"/>
  <c r="X15" i="10"/>
  <c r="W15" i="10"/>
  <c r="W13" i="10" s="1"/>
  <c r="T15" i="10"/>
  <c r="S15" i="10"/>
  <c r="P15" i="10"/>
  <c r="O15" i="10"/>
  <c r="L15" i="10"/>
  <c r="K15" i="10"/>
  <c r="J15" i="10"/>
  <c r="G15" i="10"/>
  <c r="F15" i="10"/>
  <c r="C12" i="10" s="1"/>
  <c r="E15" i="10"/>
  <c r="AA13" i="10"/>
  <c r="Z13" i="10"/>
  <c r="Y13" i="10"/>
  <c r="U13" i="10"/>
  <c r="Q13" i="10"/>
  <c r="P12" i="10"/>
  <c r="O12" i="10"/>
  <c r="N12" i="10"/>
  <c r="M12" i="10"/>
  <c r="J12" i="10"/>
  <c r="H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9" i="10" s="1"/>
  <c r="E7" i="10"/>
  <c r="F7" i="10" s="1"/>
  <c r="AB6" i="10"/>
  <c r="AA6" i="10"/>
  <c r="X6" i="10"/>
  <c r="W6" i="10"/>
  <c r="T6" i="10"/>
  <c r="S6" i="10"/>
  <c r="P6" i="10"/>
  <c r="O6" i="10"/>
  <c r="L6" i="10"/>
  <c r="K6" i="10"/>
  <c r="J6" i="10"/>
  <c r="G6" i="10"/>
  <c r="F6" i="10"/>
  <c r="E6" i="10"/>
  <c r="AU55" i="18"/>
  <c r="AT55" i="18"/>
  <c r="AS55" i="18"/>
  <c r="AS22" i="4" s="1"/>
  <c r="AC55" i="18"/>
  <c r="AB55" i="18"/>
  <c r="AA55" i="18"/>
  <c r="Z55" i="18"/>
  <c r="Y55" i="18"/>
  <c r="X55" i="18"/>
  <c r="W55" i="18"/>
  <c r="V55" i="18"/>
  <c r="U55" i="18"/>
  <c r="T55" i="18"/>
  <c r="S55" i="18"/>
  <c r="R55" i="18"/>
  <c r="Q55" i="18"/>
  <c r="P55" i="18"/>
  <c r="O55" i="18"/>
  <c r="N55" i="18"/>
  <c r="M55" i="18"/>
  <c r="L55" i="18"/>
  <c r="K55" i="18"/>
  <c r="J55" i="18"/>
  <c r="I55" i="18"/>
  <c r="H55" i="18"/>
  <c r="G55" i="18"/>
  <c r="F55" i="18"/>
  <c r="F22" i="4" s="1"/>
  <c r="E55" i="18"/>
  <c r="D55" i="18"/>
  <c r="AU54" i="18"/>
  <c r="AT54" i="18"/>
  <c r="AT12" i="4" s="1"/>
  <c r="AS54" i="18"/>
  <c r="AS12" i="4" s="1"/>
  <c r="AC54" i="18"/>
  <c r="AB54" i="18"/>
  <c r="AA54" i="18"/>
  <c r="Z54" i="18"/>
  <c r="Y54" i="18"/>
  <c r="Y12" i="4" s="1"/>
  <c r="X54" i="18"/>
  <c r="X12" i="4" s="1"/>
  <c r="W54" i="18"/>
  <c r="V54" i="18"/>
  <c r="U54" i="18"/>
  <c r="T54" i="18"/>
  <c r="S54" i="18"/>
  <c r="R54" i="18"/>
  <c r="Q54" i="18"/>
  <c r="P54" i="18"/>
  <c r="O54" i="18"/>
  <c r="N54" i="18"/>
  <c r="M54" i="18"/>
  <c r="L54" i="18"/>
  <c r="K54" i="18"/>
  <c r="J54" i="18"/>
  <c r="I54" i="18"/>
  <c r="H54" i="18"/>
  <c r="H12" i="4" s="1"/>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AB22" i="4"/>
  <c r="AA22" i="4"/>
  <c r="Z22" i="4"/>
  <c r="Y22" i="4"/>
  <c r="X22" i="4"/>
  <c r="W22" i="4"/>
  <c r="V22" i="4"/>
  <c r="U22" i="4"/>
  <c r="T22" i="4"/>
  <c r="S22" i="4"/>
  <c r="R22" i="4"/>
  <c r="Q22" i="4"/>
  <c r="P22" i="4"/>
  <c r="O22" i="4"/>
  <c r="N22" i="4"/>
  <c r="M22" i="4"/>
  <c r="L22" i="4"/>
  <c r="K22" i="4"/>
  <c r="J22" i="4"/>
  <c r="I22" i="4"/>
  <c r="H22" i="4"/>
  <c r="G22" i="4"/>
  <c r="E22" i="4"/>
  <c r="D22" i="4"/>
  <c r="AU12" i="4"/>
  <c r="AC12" i="4"/>
  <c r="AB12" i="4"/>
  <c r="AA12" i="4"/>
  <c r="Z12" i="4"/>
  <c r="W12" i="4"/>
  <c r="V12" i="4"/>
  <c r="U12" i="4"/>
  <c r="T12" i="4"/>
  <c r="S12" i="4"/>
  <c r="R12" i="4"/>
  <c r="Q12" i="4"/>
  <c r="P12" i="4"/>
  <c r="O12" i="4"/>
  <c r="N12" i="4"/>
  <c r="M12" i="4"/>
  <c r="L12" i="4"/>
  <c r="K12" i="4"/>
  <c r="J12" i="4"/>
  <c r="I12" i="4"/>
  <c r="G12" i="4"/>
  <c r="F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19" i="10" l="1"/>
  <c r="G21" i="10"/>
  <c r="G25" i="10"/>
  <c r="G28" i="10"/>
  <c r="G20" i="10"/>
  <c r="X46" i="10"/>
  <c r="T46" i="10"/>
  <c r="F41" i="10"/>
  <c r="F46" i="10" s="1"/>
  <c r="F47" i="10" s="1"/>
  <c r="F50" i="10" s="1"/>
  <c r="F52" i="10" s="1"/>
  <c r="C11" i="16" s="1"/>
  <c r="K41" i="10"/>
  <c r="K46" i="10" s="1"/>
  <c r="K47" i="10" s="1"/>
  <c r="K50" i="10" s="1"/>
  <c r="K52" i="10" s="1"/>
  <c r="D11" i="16" s="1"/>
  <c r="L26" i="10"/>
  <c r="L30" i="10" s="1"/>
  <c r="L23" i="10"/>
  <c r="L27" i="10" s="1"/>
  <c r="L31" i="10" s="1"/>
  <c r="L32" i="10" s="1"/>
  <c r="L33" i="10" s="1"/>
  <c r="X13" i="10"/>
  <c r="R13" i="10"/>
  <c r="K12" i="10"/>
  <c r="F12" i="10"/>
  <c r="G24" i="10" l="1"/>
  <c r="G23" i="10" s="1"/>
  <c r="G27" i="10" s="1"/>
  <c r="G31" i="10" l="1"/>
  <c r="G32" i="10" s="1"/>
  <c r="G33" i="10" s="1"/>
  <c r="G26" i="10"/>
  <c r="G30"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<sst xmlns="http://schemas.openxmlformats.org/spreadsheetml/2006/main" count="569" uniqueCount="508">
  <si>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</si>
  <si>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</si>
  <si>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</si>
  <si>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</si>
  <si>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</si>
  <si>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</si>
  <si>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</si>
  <si>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</si>
  <si>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</si>
  <si>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</si>
  <si>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</si>
  <si>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</si>
  <si>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</si>
  <si>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</si>
  <si>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</si>
  <si>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</si>
  <si>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</si>
  <si>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</si>
  <si>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</si>
  <si>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</si>
  <si>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</si>
  <si>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</si>
  <si>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</si>
  <si>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</si>
  <si>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</si>
  <si>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</si>
  <si>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</si>
  <si>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</si>
  <si>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</si>
  <si>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</si>
  <si>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</si>
  <si>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</si>
  <si>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</si>
  <si>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</si>
  <si>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</si>
  <si>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</si>
  <si>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</si>
  <si>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</si>
  <si>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</si>
  <si>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</si>
  <si>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</si>
  <si>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</si>
  <si>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</si>
  <si>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</si>
  <si>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</si>
  <si>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</si>
  <si>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</si>
  <si>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</si>
  <si>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</si>
  <si>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</si>
  <si>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</si>
  <si>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</si>
  <si>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</si>
  <si>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</si>
  <si>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</si>
  <si>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</si>
  <si>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</si>
  <si>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</si>
  <si>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</si>
  <si>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</si>
  <si>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</si>
  <si>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</si>
  <si>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</si>
  <si>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</si>
  <si>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</si>
  <si>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</si>
  <si>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</si>
  <si>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</si>
  <si>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</si>
  <si>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</si>
  <si>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</si>
  <si>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</si>
  <si>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</si>
  <si>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</si>
  <si>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</si>
  <si>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</si>
  <si>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</si>
  <si>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</si>
  <si>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</si>
  <si>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</si>
  <si>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</si>
  <si>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</si>
  <si>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</si>
  <si>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</si>
  <si>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</si>
  <si>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</si>
  <si>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</si>
  <si>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</si>
  <si>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</si>
  <si>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</si>
  <si>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</si>
  <si>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</si>
  <si>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</si>
  <si>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</si>
  <si>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</si>
  <si>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</si>
  <si>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</si>
  <si>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</si>
  <si>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</si>
  <si>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</si>
  <si>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</si>
  <si>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</si>
  <si>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</si>
  <si>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</si>
  <si>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</si>
  <si>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</si>
  <si>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</si>
  <si>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</si>
  <si>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</si>
  <si>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</si>
  <si>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</si>
  <si>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</si>
  <si>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</si>
  <si>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</si>
  <si>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</si>
  <si>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</si>
  <si>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</si>
  <si>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</si>
  <si>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</si>
  <si>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</si>
  <si>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</si>
  <si>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</si>
  <si>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</si>
  <si>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</si>
  <si>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</si>
  <si>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</si>
  <si>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</si>
  <si>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</si>
  <si>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</si>
  <si>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</si>
  <si>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</si>
  <si>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</si>
  <si>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</si>
  <si>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</si>
  <si>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</si>
  <si>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</si>
  <si>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</si>
  <si>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</si>
  <si>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</si>
  <si>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</si>
  <si>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</si>
  <si>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</si>
  <si>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</si>
  <si>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</si>
  <si>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</si>
  <si>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</si>
  <si>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</si>
  <si>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</si>
  <si>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</si>
  <si>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</si>
  <si>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</si>
  <si>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</si>
  <si>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</si>
  <si>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</si>
  <si>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</si>
  <si>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</si>
  <si>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</si>
  <si>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</si>
  <si>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</si>
  <si>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</si>
  <si>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</si>
  <si>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</si>
  <si>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</si>
  <si>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</si>
  <si>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</si>
  <si>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</si>
  <si>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</si>
  <si>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</si>
  <si>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</si>
  <si>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</si>
  <si>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</si>
  <si>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</si>
  <si>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</si>
  <si>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</si>
  <si>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</si>
  <si>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</si>
  <si>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</si>
  <si>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</si>
  <si>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</si>
  <si>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</si>
  <si>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</si>
  <si>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</si>
  <si>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</si>
  <si>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</si>
  <si>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</si>
  <si>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</si>
  <si>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</si>
  <si>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</si>
  <si>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</si>
  <si>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</si>
  <si>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</si>
  <si>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</si>
  <si>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</si>
  <si>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</si>
  <si>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</si>
  <si>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</si>
  <si>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</si>
  <si>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</si>
  <si>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</si>
  <si>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</si>
  <si>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</si>
  <si>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</si>
  <si>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</si>
  <si>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</si>
  <si>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</si>
  <si>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</si>
  <si>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</si>
  <si>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</si>
  <si>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</si>
  <si>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</si>
  <si>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</si>
  <si>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</si>
  <si>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</si>
  <si>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</si>
  <si>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</si>
  <si>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</si>
  <si>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</si>
  <si>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</si>
  <si>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</si>
  <si>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</si>
  <si>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</si>
  <si>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</si>
  <si>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</si>
  <si>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</si>
  <si>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</si>
  <si>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</si>
  <si>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</si>
  <si>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</si>
  <si>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</si>
  <si>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</si>
  <si>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</si>
  <si>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</si>
  <si>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</si>
  <si>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</si>
  <si>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</si>
  <si>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</si>
  <si>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</si>
  <si>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</si>
  <si>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</si>
  <si>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</si>
  <si>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</si>
  <si>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</si>
  <si>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</si>
  <si>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</si>
  <si>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</si>
  <si>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</si>
  <si>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</si>
  <si>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</si>
  <si>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</si>
  <si>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</si>
  <si>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</si>
  <si>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</si>
  <si>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</si>
  <si>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</si>
  <si>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</si>
  <si>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</si>
  <si>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</si>
  <si>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</si>
  <si>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</si>
  <si>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</si>
  <si>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</si>
  <si>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</si>
  <si>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</si>
  <si>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</si>
  <si>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</si>
  <si>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</si>
  <si>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</si>
  <si>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</si>
  <si>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</si>
  <si>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</si>
  <si>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</si>
  <si>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</si>
  <si>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</si>
  <si>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</si>
  <si>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</si>
  <si>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</si>
  <si>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</si>
  <si>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</si>
  <si>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</si>
  <si>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</si>
  <si>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</si>
  <si>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</si>
  <si>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</si>
  <si>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</si>
  <si>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</si>
  <si>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</si>
  <si>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</si>
  <si>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</si>
  <si>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</si>
  <si>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</si>
  <si>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</si>
  <si>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</si>
  <si>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</si>
  <si>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</si>
  <si>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</si>
  <si>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</si>
  <si>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</si>
  <si>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</si>
  <si>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</si>
  <si>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</si>
  <si>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</si>
  <si>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</si>
  <si>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</si>
  <si>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</si>
  <si>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</si>
  <si>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</si>
  <si>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</si>
  <si>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</si>
  <si>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</si>
  <si>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</si>
  <si>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</si>
  <si>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</si>
  <si>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</si>
  <si>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</si>
  <si>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</si>
  <si>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</si>
  <si>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</si>
  <si>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</si>
  <si>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</si>
  <si>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</si>
  <si>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</si>
  <si>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</si>
  <si>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</si>
  <si>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</si>
  <si>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</si>
  <si>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</si>
  <si>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</si>
  <si>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</si>
  <si>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</si>
  <si>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</si>
  <si>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</si>
  <si>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</si>
  <si>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</si>
  <si>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</si>
  <si>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</si>
  <si>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</si>
  <si>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</si>
  <si>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</si>
  <si>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</si>
  <si>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</si>
  <si>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</si>
  <si>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</si>
  <si>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</si>
  <si>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</si>
  <si>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</si>
  <si>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</si>
  <si>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</si>
  <si>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</si>
  <si>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</si>
  <si>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</si>
  <si>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</si>
  <si>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</si>
  <si>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</si>
  <si>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</si>
  <si>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</si>
  <si>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</si>
  <si>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</si>
  <si>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</si>
  <si>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</si>
  <si>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</si>
  <si>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</si>
  <si>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</si>
  <si>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</si>
  <si>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</si>
  <si>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</si>
  <si>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</si>
  <si>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</si>
  <si>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</si>
  <si>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</si>
  <si>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</si>
  <si>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</si>
  <si>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</si>
  <si>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</si>
  <si>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</si>
  <si>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</si>
  <si>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</si>
  <si>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</si>
  <si>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</si>
  <si>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</si>
  <si>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</si>
  <si>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</si>
  <si>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</si>
  <si>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</si>
  <si>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</si>
  <si>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</si>
  <si>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</si>
  <si>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</si>
  <si>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</si>
  <si>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</si>
  <si>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</si>
  <si>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</si>
  <si>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</si>
  <si>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</si>
  <si>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</si>
  <si>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</si>
  <si>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</si>
  <si>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</si>
  <si>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</si>
  <si>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</si>
  <si>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</si>
  <si>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</si>
  <si>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</si>
  <si>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</si>
  <si>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</si>
  <si>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</si>
  <si>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</si>
  <si>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</si>
  <si>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</si>
  <si>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</si>
  <si>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</si>
  <si>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</si>
  <si>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</si>
  <si>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</si>
  <si>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</si>
  <si>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</si>
  <si>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</si>
  <si>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</si>
  <si>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</si>
  <si>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</si>
  <si>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</si>
  <si>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</si>
  <si>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</si>
  <si>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</si>
  <si>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</si>
  <si>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</si>
  <si>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</si>
  <si>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</si>
  <si>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</si>
  <si>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</si>
  <si>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</si>
  <si>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</si>
  <si>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</si>
  <si>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</si>
  <si>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</si>
  <si>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</si>
  <si>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</si>
  <si>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</si>
  <si>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</si>
  <si>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</si>
  <si>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</si>
  <si>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</si>
  <si>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</si>
  <si>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</si>
  <si>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</si>
  <si>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</si>
  <si>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</si>
  <si>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</si>
  <si>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</si>
  <si>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</si>
  <si>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</si>
  <si>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</si>
  <si>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</si>
  <si>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</si>
  <si>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</si>
  <si>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</si>
  <si>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</si>
  <si>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</si>
  <si>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</si>
  <si>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</si>
  <si>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</si>
  <si>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</si>
  <si>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</si>
  <si>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</si>
  <si>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</si>
  <si>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</si>
  <si>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</si>
  <si>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</si>
  <si>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</si>
  <si>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</si>
  <si>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</si>
  <si>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</si>
  <si>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</si>
  <si>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</si>
  <si>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</si>
  <si>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</si>
  <si>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</si>
  <si>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</si>
  <si>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</si>
  <si>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</si>
  <si>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</si>
  <si>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</si>
  <si>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</si>
  <si>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</si>
  <si>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</si>
  <si>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</si>
  <si>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</si>
  <si>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</si>
  <si>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</si>
  <si>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</si>
  <si>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</si>
  <si>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</si>
  <si>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</si>
  <si>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</si>
  <si>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</si>
  <si>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</si>
  <si>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</si>
  <si>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</si>
  <si>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</si>
  <si>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</si>
  <si>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</si>
  <si>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</si>
  <si>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</si>
  <si>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</si>
  <si>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79509</t>
  </si>
  <si>
    <t>219</t>
  </si>
  <si>
    <t>Humana Health Plan,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</si>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</sst>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141</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47292189</v>
      </c>
      <c r="E5" s="112">
        <f>SUM('Pt 2 Premium and Claims'!E$5,'Pt 2 Premium and Claims'!E$6,-'Pt 2 Premium and Claims'!E$7,-'Pt 2 Premium and Claims'!E$13,'Pt 2 Premium and Claims'!E$14:'Pt 2 Premium and Claims'!E$17)</f>
        <v>45116284.659999996</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15515477</v>
      </c>
      <c r="K5" s="112">
        <f>SUM('Pt 2 Premium and Claims'!K$5,'Pt 2 Premium and Claims'!K$6,-'Pt 2 Premium and Claims'!K$7,-'Pt 2 Premium and Claims'!K$13,'Pt 2 Premium and Claims'!K$14,'Pt 2 Premium and Claims'!K$16:'Pt 2 Premium and Claims'!K$17)</f>
        <v>5770986.2745425999</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2667806</v>
      </c>
      <c r="Q5" s="112">
        <f>SUM('Pt 2 Premium and Claims'!Q$5,'Pt 2 Premium and Claims'!Q$6,-'Pt 2 Premium and Claims'!Q$7,-'Pt 2 Premium and Claims'!Q$13,'Pt 2 Premium and Claims'!Q$14)</f>
        <v>1222359.9928592003</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291183958</v>
      </c>
      <c r="AT5" s="113">
        <f>SUM('Pt 2 Premium and Claims'!AT$5,'Pt 2 Premium and Claims'!AT$6,-'Pt 2 Premium and Claims'!AT$7,-'Pt 2 Premium and Claims'!AT$13,'Pt 2 Premium and Claims'!AT$14)</f>
        <v>8672256</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-99786</v>
      </c>
      <c r="E7" s="116">
        <v>-93520.809279897861</v>
      </c>
      <c r="F7" s="116"/>
      <c r="G7" s="116"/>
      <c r="H7" s="116"/>
      <c r="I7" s="115"/>
      <c r="J7" s="115">
        <v>-14597</v>
      </c>
      <c r="K7" s="116">
        <v>-5341.4372432002838</v>
      </c>
      <c r="L7" s="116"/>
      <c r="M7" s="116"/>
      <c r="N7" s="116"/>
      <c r="O7" s="115"/>
      <c r="P7" s="115">
        <v>-5926</v>
      </c>
      <c r="Q7" s="116">
        <v>-2356.175105862269</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-708</v>
      </c>
      <c r="AU7" s="119"/>
      <c r="AV7" s="317"/>
      <c r="AW7" s="324"/>
    </row>
    <row r="8" spans="1:49" ht="25.5" x14ac:dyDescent="0.2">
      <c r="B8" s="161" t="s">
        <v>225</v>
      </c>
      <c r="C8" s="68" t="s">
        <v>59</v>
      </c>
      <c r="D8" s="115">
        <v>-140890</v>
      </c>
      <c r="E8" s="295"/>
      <c r="F8" s="296"/>
      <c r="G8" s="296"/>
      <c r="H8" s="296"/>
      <c r="I8" s="299"/>
      <c r="J8" s="115">
        <v>-22972</v>
      </c>
      <c r="K8" s="295"/>
      <c r="L8" s="296"/>
      <c r="M8" s="296"/>
      <c r="N8" s="296"/>
      <c r="O8" s="299"/>
      <c r="P8" s="115">
        <v>-5395</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7870</v>
      </c>
      <c r="AT8" s="119">
        <v>-69676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35276734</v>
      </c>
      <c r="E12" s="112">
        <f>'Pt 2 Premium and Claims'!E$54</f>
        <v>31808594.153000001</v>
      </c>
      <c r="F12" s="112">
        <f>'Pt 2 Premium and Claims'!F$54</f>
        <v>0</v>
      </c>
      <c r="G12" s="112">
        <f>'Pt 2 Premium and Claims'!G$54</f>
        <v>0</v>
      </c>
      <c r="H12" s="112">
        <f>'Pt 2 Premium and Claims'!H$54</f>
        <v>0</v>
      </c>
      <c r="I12" s="111">
        <f>'Pt 2 Premium and Claims'!I$54</f>
        <v>0</v>
      </c>
      <c r="J12" s="111">
        <f>'Pt 2 Premium and Claims'!J$54</f>
        <v>12253732</v>
      </c>
      <c r="K12" s="112">
        <f>'Pt 2 Premium and Claims'!K$54</f>
        <v>4453911.5123967165</v>
      </c>
      <c r="L12" s="112">
        <f>'Pt 2 Premium and Claims'!L$54</f>
        <v>0</v>
      </c>
      <c r="M12" s="112">
        <f>'Pt 2 Premium and Claims'!M$54</f>
        <v>0</v>
      </c>
      <c r="N12" s="112">
        <f>'Pt 2 Premium and Claims'!N$54</f>
        <v>0</v>
      </c>
      <c r="O12" s="111">
        <f>'Pt 2 Premium and Claims'!O$54</f>
        <v>0</v>
      </c>
      <c r="P12" s="111">
        <f>'Pt 2 Premium and Claims'!P$54</f>
        <v>2409639</v>
      </c>
      <c r="Q12" s="112">
        <f>'Pt 2 Premium and Claims'!Q$54</f>
        <v>998041.95100328431</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236491806</v>
      </c>
      <c r="AT12" s="113">
        <f>'Pt 2 Premium and Claims'!AT$54</f>
        <v>6233808</v>
      </c>
      <c r="AU12" s="113">
        <f>'Pt 2 Premium and Claims'!AU$54</f>
        <v>0</v>
      </c>
      <c r="AV12" s="318"/>
      <c r="AW12" s="323"/>
    </row>
    <row r="13" spans="1:49" ht="25.5" x14ac:dyDescent="0.2">
      <c r="B13" s="161" t="s">
        <v>230</v>
      </c>
      <c r="C13" s="68" t="s">
        <v>37</v>
      </c>
      <c r="D13" s="115">
        <v>3207095</v>
      </c>
      <c r="E13" s="116">
        <v>3131960.75</v>
      </c>
      <c r="F13" s="116"/>
      <c r="G13" s="295"/>
      <c r="H13" s="296"/>
      <c r="I13" s="115"/>
      <c r="J13" s="115">
        <v>1213012</v>
      </c>
      <c r="K13" s="116">
        <v>1242232.258491108</v>
      </c>
      <c r="L13" s="116"/>
      <c r="M13" s="295"/>
      <c r="N13" s="296"/>
      <c r="O13" s="115"/>
      <c r="P13" s="115">
        <v>204186</v>
      </c>
      <c r="Q13" s="116">
        <v>172759.74150889169</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82022890</v>
      </c>
      <c r="AT13" s="119">
        <v>1580</v>
      </c>
      <c r="AU13" s="119"/>
      <c r="AV13" s="317"/>
      <c r="AW13" s="324"/>
    </row>
    <row r="14" spans="1:49" ht="25.5" x14ac:dyDescent="0.2">
      <c r="B14" s="161" t="s">
        <v>231</v>
      </c>
      <c r="C14" s="68" t="s">
        <v>6</v>
      </c>
      <c r="D14" s="115">
        <v>278378</v>
      </c>
      <c r="E14" s="116">
        <v>258116.36999999997</v>
      </c>
      <c r="F14" s="116"/>
      <c r="G14" s="294"/>
      <c r="H14" s="297"/>
      <c r="I14" s="115"/>
      <c r="J14" s="115">
        <v>106983</v>
      </c>
      <c r="K14" s="116">
        <v>105815.61594912602</v>
      </c>
      <c r="L14" s="116"/>
      <c r="M14" s="294"/>
      <c r="N14" s="297"/>
      <c r="O14" s="115"/>
      <c r="P14" s="115">
        <v>10854</v>
      </c>
      <c r="Q14" s="116">
        <v>5606.9840508740217</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21366126</v>
      </c>
      <c r="AT14" s="119">
        <v>484</v>
      </c>
      <c r="AU14" s="119"/>
      <c r="AV14" s="317"/>
      <c r="AW14" s="324"/>
    </row>
    <row r="15" spans="1:49" ht="38.25" x14ac:dyDescent="0.2">
      <c r="B15" s="161" t="s">
        <v>232</v>
      </c>
      <c r="C15" s="68" t="s">
        <v>7</v>
      </c>
      <c r="D15" s="115">
        <v>1600</v>
      </c>
      <c r="E15" s="116">
        <v>1600</v>
      </c>
      <c r="F15" s="116"/>
      <c r="G15" s="294"/>
      <c r="H15" s="300"/>
      <c r="I15" s="115"/>
      <c r="J15" s="115">
        <v>661</v>
      </c>
      <c r="K15" s="116">
        <v>661</v>
      </c>
      <c r="L15" s="116"/>
      <c r="M15" s="294"/>
      <c r="N15" s="300"/>
      <c r="O15" s="115"/>
      <c r="P15" s="115">
        <v>84</v>
      </c>
      <c r="Q15" s="116">
        <v>84</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9234</v>
      </c>
      <c r="AT15" s="119">
        <v>282</v>
      </c>
      <c r="AU15" s="119"/>
      <c r="AV15" s="317"/>
      <c r="AW15" s="324"/>
    </row>
    <row r="16" spans="1:49" ht="25.5" x14ac:dyDescent="0.2">
      <c r="B16" s="161" t="s">
        <v>233</v>
      </c>
      <c r="C16" s="68" t="s">
        <v>61</v>
      </c>
      <c r="D16" s="115">
        <v>-2111310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3001</v>
      </c>
      <c r="AT16" s="119">
        <v>-24923</v>
      </c>
      <c r="AU16" s="119"/>
      <c r="AV16" s="317"/>
      <c r="AW16" s="324"/>
    </row>
    <row r="17" spans="1:49" x14ac:dyDescent="0.2">
      <c r="B17" s="161" t="s">
        <v>234</v>
      </c>
      <c r="C17" s="68" t="s">
        <v>62</v>
      </c>
      <c r="D17" s="115">
        <v>1014544</v>
      </c>
      <c r="E17" s="294"/>
      <c r="F17" s="297"/>
      <c r="G17" s="297"/>
      <c r="H17" s="297"/>
      <c r="I17" s="298"/>
      <c r="J17" s="115">
        <v>-162</v>
      </c>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-169135</v>
      </c>
      <c r="AU17" s="119"/>
      <c r="AV17" s="317"/>
      <c r="AW17" s="324"/>
    </row>
    <row r="18" spans="1:49" x14ac:dyDescent="0.2">
      <c r="B18" s="161" t="s">
        <v>235</v>
      </c>
      <c r="C18" s="68" t="s">
        <v>63</v>
      </c>
      <c r="D18" s="115">
        <v>152862</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1500844</v>
      </c>
      <c r="E19" s="294"/>
      <c r="F19" s="297"/>
      <c r="G19" s="297"/>
      <c r="H19" s="297"/>
      <c r="I19" s="298"/>
      <c r="J19" s="115">
        <v>84</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327459</v>
      </c>
      <c r="E20" s="294"/>
      <c r="F20" s="297"/>
      <c r="G20" s="297"/>
      <c r="H20" s="297"/>
      <c r="I20" s="298"/>
      <c r="J20" s="115">
        <v>246</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77345</v>
      </c>
      <c r="E22" s="121">
        <f>'Pt 2 Premium and Claims'!E$55</f>
        <v>71343.490000000005</v>
      </c>
      <c r="F22" s="121">
        <f>'Pt 2 Premium and Claims'!F$55</f>
        <v>0</v>
      </c>
      <c r="G22" s="121">
        <f>'Pt 2 Premium and Claims'!G$55</f>
        <v>0</v>
      </c>
      <c r="H22" s="121">
        <f>'Pt 2 Premium and Claims'!H$55</f>
        <v>0</v>
      </c>
      <c r="I22" s="120">
        <f>'Pt 2 Premium and Claims'!I$55</f>
        <v>0</v>
      </c>
      <c r="J22" s="120">
        <f>'Pt 2 Premium and Claims'!J$55</f>
        <v>3783</v>
      </c>
      <c r="K22" s="121">
        <f>'Pt 2 Premium and Claims'!K$55</f>
        <v>3506.94</v>
      </c>
      <c r="L22" s="121">
        <f>'Pt 2 Premium and Claims'!L$55</f>
        <v>0</v>
      </c>
      <c r="M22" s="121">
        <f>'Pt 2 Premium and Claims'!M$55</f>
        <v>0</v>
      </c>
      <c r="N22" s="121">
        <f>'Pt 2 Premium and Claims'!N$55</f>
        <v>0</v>
      </c>
      <c r="O22" s="120">
        <f>'Pt 2 Premium and Claims'!O$55</f>
        <v>0</v>
      </c>
      <c r="P22" s="120">
        <f>'Pt 2 Premium and Claims'!P$55</f>
        <v>2380</v>
      </c>
      <c r="Q22" s="121">
        <f>'Pt 2 Premium and Claims'!Q$55</f>
        <v>2335.23</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-352330.08549999999</v>
      </c>
      <c r="E25" s="116">
        <v>-330208.59368664544</v>
      </c>
      <c r="F25" s="116"/>
      <c r="G25" s="116"/>
      <c r="H25" s="116"/>
      <c r="I25" s="115"/>
      <c r="J25" s="115">
        <v>478493.65659999999</v>
      </c>
      <c r="K25" s="116">
        <v>175093.77529617917</v>
      </c>
      <c r="L25" s="116"/>
      <c r="M25" s="116"/>
      <c r="N25" s="116"/>
      <c r="O25" s="115"/>
      <c r="P25" s="115">
        <v>126621.6635</v>
      </c>
      <c r="Q25" s="116">
        <v>-45723.214647924775</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6135176.2379999999</v>
      </c>
      <c r="AT25" s="119">
        <v>159485.13080000001</v>
      </c>
      <c r="AU25" s="119"/>
      <c r="AV25" s="119"/>
      <c r="AW25" s="324"/>
    </row>
    <row r="26" spans="1:49" s="11" customFormat="1" x14ac:dyDescent="0.2">
      <c r="A26" s="41"/>
      <c r="B26" s="164" t="s">
        <v>243</v>
      </c>
      <c r="C26" s="68"/>
      <c r="D26" s="115"/>
      <c r="E26" s="116">
        <v>35816.709866815603</v>
      </c>
      <c r="F26" s="116"/>
      <c r="G26" s="116"/>
      <c r="H26" s="116"/>
      <c r="I26" s="115"/>
      <c r="J26" s="115"/>
      <c r="K26" s="116">
        <v>2379.8029524409549</v>
      </c>
      <c r="L26" s="116"/>
      <c r="M26" s="116"/>
      <c r="N26" s="116"/>
      <c r="O26" s="115"/>
      <c r="P26" s="115"/>
      <c r="Q26" s="116">
        <v>492.78094236494064</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594640.71000000008</v>
      </c>
      <c r="E27" s="116">
        <v>557305.43793691555</v>
      </c>
      <c r="F27" s="116"/>
      <c r="G27" s="116"/>
      <c r="H27" s="116"/>
      <c r="I27" s="115"/>
      <c r="J27" s="115">
        <v>186254.04</v>
      </c>
      <c r="K27" s="116">
        <v>68155.392611667849</v>
      </c>
      <c r="L27" s="116"/>
      <c r="M27" s="116"/>
      <c r="N27" s="116"/>
      <c r="O27" s="115"/>
      <c r="P27" s="115">
        <v>47993.35</v>
      </c>
      <c r="Q27" s="116">
        <v>19082.135760535763</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3630477.5999999996</v>
      </c>
      <c r="AT27" s="119">
        <v>7046.57</v>
      </c>
      <c r="AU27" s="119"/>
      <c r="AV27" s="320"/>
      <c r="AW27" s="324"/>
    </row>
    <row r="28" spans="1:49" s="11" customFormat="1" x14ac:dyDescent="0.2">
      <c r="A28" s="41"/>
      <c r="B28" s="164" t="s">
        <v>245</v>
      </c>
      <c r="C28" s="68"/>
      <c r="D28" s="115">
        <v>1211663.67</v>
      </c>
      <c r="E28" s="116">
        <v>171018.88141868939</v>
      </c>
      <c r="F28" s="116"/>
      <c r="G28" s="116"/>
      <c r="H28" s="116"/>
      <c r="I28" s="115"/>
      <c r="J28" s="115">
        <v>155612.73000000001</v>
      </c>
      <c r="K28" s="116">
        <v>9273.1587977270792</v>
      </c>
      <c r="L28" s="116"/>
      <c r="M28" s="116"/>
      <c r="N28" s="116"/>
      <c r="O28" s="115"/>
      <c r="P28" s="115">
        <v>41383.130000000005</v>
      </c>
      <c r="Q28" s="116">
        <v>1875.4493827362321</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17407.690000000002</v>
      </c>
      <c r="AT28" s="119">
        <v>15185.2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-7121.7311399999953</v>
      </c>
      <c r="E30" s="116">
        <v>7998.9439843649589</v>
      </c>
      <c r="F30" s="116"/>
      <c r="G30" s="116"/>
      <c r="H30" s="116"/>
      <c r="I30" s="115"/>
      <c r="J30" s="115">
        <v>35409.677800000005</v>
      </c>
      <c r="K30" s="116">
        <v>13904.395954307896</v>
      </c>
      <c r="L30" s="116"/>
      <c r="M30" s="116"/>
      <c r="N30" s="116"/>
      <c r="O30" s="115"/>
      <c r="P30" s="115">
        <v>-7216.7295630000017</v>
      </c>
      <c r="Q30" s="116">
        <v>-2674.9066587166253</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469104.48359999992</v>
      </c>
      <c r="AT30" s="119">
        <v>12821.010490000006</v>
      </c>
      <c r="AU30" s="119"/>
      <c r="AV30" s="119"/>
      <c r="AW30" s="324"/>
    </row>
    <row r="31" spans="1:49" x14ac:dyDescent="0.2">
      <c r="B31" s="164" t="s">
        <v>248</v>
      </c>
      <c r="C31" s="68"/>
      <c r="D31" s="115">
        <v>775591.47580000013</v>
      </c>
      <c r="E31" s="116">
        <v>724491.90789453534</v>
      </c>
      <c r="F31" s="116"/>
      <c r="G31" s="116"/>
      <c r="H31" s="116"/>
      <c r="I31" s="115"/>
      <c r="J31" s="115">
        <v>244999.592</v>
      </c>
      <c r="K31" s="116">
        <v>89651.979535361694</v>
      </c>
      <c r="L31" s="116"/>
      <c r="M31" s="116"/>
      <c r="N31" s="116"/>
      <c r="O31" s="115"/>
      <c r="P31" s="115">
        <v>41891.260000000009</v>
      </c>
      <c r="Q31" s="116">
        <v>16655.947344786342</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139273.11000000002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1108726.8793772797</v>
      </c>
      <c r="F34" s="116"/>
      <c r="G34" s="116"/>
      <c r="H34" s="116"/>
      <c r="I34" s="115"/>
      <c r="J34" s="115"/>
      <c r="K34" s="116">
        <v>53704.918514835008</v>
      </c>
      <c r="L34" s="116"/>
      <c r="M34" s="116"/>
      <c r="N34" s="116"/>
      <c r="O34" s="115"/>
      <c r="P34" s="115"/>
      <c r="Q34" s="116">
        <v>15899.335225700852</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50413.19</v>
      </c>
      <c r="E35" s="116">
        <v>47556.211562520701</v>
      </c>
      <c r="F35" s="116"/>
      <c r="G35" s="116"/>
      <c r="H35" s="116"/>
      <c r="I35" s="115"/>
      <c r="J35" s="115">
        <v>7457.8</v>
      </c>
      <c r="K35" s="116">
        <v>3306.846216556597</v>
      </c>
      <c r="L35" s="116"/>
      <c r="M35" s="116"/>
      <c r="N35" s="116"/>
      <c r="O35" s="115"/>
      <c r="P35" s="115">
        <v>1347.02</v>
      </c>
      <c r="Q35" s="116">
        <v>96606.519176817645</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162767.02000000002</v>
      </c>
      <c r="AT35" s="119">
        <v>5911.8399999999992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170509</v>
      </c>
      <c r="E37" s="124">
        <v>164960.59</v>
      </c>
      <c r="F37" s="124"/>
      <c r="G37" s="124"/>
      <c r="H37" s="124"/>
      <c r="I37" s="123"/>
      <c r="J37" s="123">
        <v>34556</v>
      </c>
      <c r="K37" s="124">
        <v>14625.680000000004</v>
      </c>
      <c r="L37" s="124"/>
      <c r="M37" s="124"/>
      <c r="N37" s="124"/>
      <c r="O37" s="123"/>
      <c r="P37" s="123">
        <v>7107</v>
      </c>
      <c r="Q37" s="124">
        <v>3943.8599999999988</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1915954</v>
      </c>
      <c r="AT37" s="125">
        <v>1426</v>
      </c>
      <c r="AU37" s="125"/>
      <c r="AV37" s="125"/>
      <c r="AW37" s="323"/>
    </row>
    <row r="38" spans="1:49" x14ac:dyDescent="0.2">
      <c r="B38" s="161" t="s">
        <v>255</v>
      </c>
      <c r="C38" s="68" t="s">
        <v>16</v>
      </c>
      <c r="D38" s="115">
        <v>37573</v>
      </c>
      <c r="E38" s="116">
        <v>34699.17</v>
      </c>
      <c r="F38" s="116"/>
      <c r="G38" s="116"/>
      <c r="H38" s="116"/>
      <c r="I38" s="115"/>
      <c r="J38" s="115">
        <v>20455</v>
      </c>
      <c r="K38" s="116">
        <v>6053.8</v>
      </c>
      <c r="L38" s="116"/>
      <c r="M38" s="116"/>
      <c r="N38" s="116"/>
      <c r="O38" s="115"/>
      <c r="P38" s="115">
        <v>3808</v>
      </c>
      <c r="Q38" s="116">
        <v>1547.6399999999992</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719101</v>
      </c>
      <c r="AT38" s="119">
        <v>-4</v>
      </c>
      <c r="AU38" s="119"/>
      <c r="AV38" s="119"/>
      <c r="AW38" s="324"/>
    </row>
    <row r="39" spans="1:49" x14ac:dyDescent="0.2">
      <c r="B39" s="164" t="s">
        <v>256</v>
      </c>
      <c r="C39" s="68" t="s">
        <v>17</v>
      </c>
      <c r="D39" s="115">
        <v>66634</v>
      </c>
      <c r="E39" s="116">
        <v>65549.429999999993</v>
      </c>
      <c r="F39" s="116"/>
      <c r="G39" s="116"/>
      <c r="H39" s="116"/>
      <c r="I39" s="115"/>
      <c r="J39" s="115">
        <v>11690</v>
      </c>
      <c r="K39" s="116">
        <v>8550.3499999999985</v>
      </c>
      <c r="L39" s="116"/>
      <c r="M39" s="116"/>
      <c r="N39" s="116"/>
      <c r="O39" s="115"/>
      <c r="P39" s="115">
        <v>6004</v>
      </c>
      <c r="Q39" s="116">
        <v>5494.86</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598689</v>
      </c>
      <c r="AT39" s="119">
        <v>3446</v>
      </c>
      <c r="AU39" s="119"/>
      <c r="AV39" s="119"/>
      <c r="AW39" s="324"/>
    </row>
    <row r="40" spans="1:49" x14ac:dyDescent="0.2">
      <c r="B40" s="164" t="s">
        <v>257</v>
      </c>
      <c r="C40" s="68" t="s">
        <v>38</v>
      </c>
      <c r="D40" s="115">
        <v>41821</v>
      </c>
      <c r="E40" s="116">
        <v>40438.86</v>
      </c>
      <c r="F40" s="116"/>
      <c r="G40" s="116"/>
      <c r="H40" s="116"/>
      <c r="I40" s="115"/>
      <c r="J40" s="115">
        <v>50791</v>
      </c>
      <c r="K40" s="116">
        <v>37079.409999999996</v>
      </c>
      <c r="L40" s="116"/>
      <c r="M40" s="116"/>
      <c r="N40" s="116"/>
      <c r="O40" s="115"/>
      <c r="P40" s="115">
        <v>15175</v>
      </c>
      <c r="Q40" s="116">
        <v>13159.329999999998</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1742480</v>
      </c>
      <c r="AT40" s="119">
        <v>54595</v>
      </c>
      <c r="AU40" s="119"/>
      <c r="AV40" s="119"/>
      <c r="AW40" s="324"/>
    </row>
    <row r="41" spans="1:49" s="11" customFormat="1" ht="25.5" x14ac:dyDescent="0.2">
      <c r="A41" s="41"/>
      <c r="B41" s="164" t="s">
        <v>258</v>
      </c>
      <c r="C41" s="68" t="s">
        <v>129</v>
      </c>
      <c r="D41" s="115">
        <v>95227</v>
      </c>
      <c r="E41" s="116">
        <v>87654.65</v>
      </c>
      <c r="F41" s="116"/>
      <c r="G41" s="116"/>
      <c r="H41" s="116"/>
      <c r="I41" s="115"/>
      <c r="J41" s="115">
        <v>12222</v>
      </c>
      <c r="K41" s="116">
        <v>3507.7499999999977</v>
      </c>
      <c r="L41" s="116"/>
      <c r="M41" s="116"/>
      <c r="N41" s="116"/>
      <c r="O41" s="115"/>
      <c r="P41" s="115">
        <v>2480</v>
      </c>
      <c r="Q41" s="116">
        <v>981.12000000000012</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914693</v>
      </c>
      <c r="AT41" s="119">
        <v>11942</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522711</v>
      </c>
      <c r="E44" s="124">
        <v>480963.97174129722</v>
      </c>
      <c r="F44" s="124"/>
      <c r="G44" s="124"/>
      <c r="H44" s="124"/>
      <c r="I44" s="123"/>
      <c r="J44" s="123">
        <v>70038</v>
      </c>
      <c r="K44" s="124">
        <v>21428.373106008519</v>
      </c>
      <c r="L44" s="124"/>
      <c r="M44" s="124"/>
      <c r="N44" s="124"/>
      <c r="O44" s="123"/>
      <c r="P44" s="123">
        <v>22416</v>
      </c>
      <c r="Q44" s="124">
        <v>7879.4976314830565</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3365750</v>
      </c>
      <c r="AT44" s="125">
        <v>12153</v>
      </c>
      <c r="AU44" s="125"/>
      <c r="AV44" s="125"/>
      <c r="AW44" s="323"/>
    </row>
    <row r="45" spans="1:49" x14ac:dyDescent="0.2">
      <c r="B45" s="167" t="s">
        <v>262</v>
      </c>
      <c r="C45" s="68" t="s">
        <v>19</v>
      </c>
      <c r="D45" s="115">
        <v>158033</v>
      </c>
      <c r="E45" s="116">
        <v>145411.47851526449</v>
      </c>
      <c r="F45" s="116"/>
      <c r="G45" s="116"/>
      <c r="H45" s="116"/>
      <c r="I45" s="115"/>
      <c r="J45" s="115">
        <v>36144</v>
      </c>
      <c r="K45" s="116">
        <v>11058.384270589853</v>
      </c>
      <c r="L45" s="116"/>
      <c r="M45" s="116"/>
      <c r="N45" s="116"/>
      <c r="O45" s="115"/>
      <c r="P45" s="115">
        <v>8119.9999999999991</v>
      </c>
      <c r="Q45" s="116">
        <v>2854.2791206121701</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3119730</v>
      </c>
      <c r="AT45" s="119">
        <v>113321</v>
      </c>
      <c r="AU45" s="119"/>
      <c r="AV45" s="119"/>
      <c r="AW45" s="324"/>
    </row>
    <row r="46" spans="1:49" x14ac:dyDescent="0.2">
      <c r="B46" s="167" t="s">
        <v>263</v>
      </c>
      <c r="C46" s="68" t="s">
        <v>20</v>
      </c>
      <c r="D46" s="115">
        <v>722517</v>
      </c>
      <c r="E46" s="116">
        <v>664812.19253202411</v>
      </c>
      <c r="F46" s="116"/>
      <c r="G46" s="116"/>
      <c r="H46" s="116"/>
      <c r="I46" s="115"/>
      <c r="J46" s="115">
        <v>103927</v>
      </c>
      <c r="K46" s="116">
        <v>31796.832173793475</v>
      </c>
      <c r="L46" s="116"/>
      <c r="M46" s="116"/>
      <c r="N46" s="116"/>
      <c r="O46" s="115"/>
      <c r="P46" s="115">
        <v>16443</v>
      </c>
      <c r="Q46" s="116">
        <v>5779.915219239645</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2813531</v>
      </c>
      <c r="AT46" s="119">
        <v>36469</v>
      </c>
      <c r="AU46" s="119"/>
      <c r="AV46" s="119"/>
      <c r="AW46" s="324"/>
    </row>
    <row r="47" spans="1:49" x14ac:dyDescent="0.2">
      <c r="B47" s="167" t="s">
        <v>264</v>
      </c>
      <c r="C47" s="68" t="s">
        <v>21</v>
      </c>
      <c r="D47" s="115">
        <v>2176471</v>
      </c>
      <c r="E47" s="116">
        <v>2002644.1696075897</v>
      </c>
      <c r="F47" s="116"/>
      <c r="G47" s="116"/>
      <c r="H47" s="116"/>
      <c r="I47" s="115"/>
      <c r="J47" s="115">
        <v>207384</v>
      </c>
      <c r="K47" s="116">
        <v>63449.86619001787</v>
      </c>
      <c r="L47" s="116"/>
      <c r="M47" s="116"/>
      <c r="N47" s="116"/>
      <c r="O47" s="115"/>
      <c r="P47" s="115">
        <v>55585</v>
      </c>
      <c r="Q47" s="116">
        <v>19538.806024535406</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2714470</v>
      </c>
      <c r="AT47" s="119">
        <v>836696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226725.48533999996</v>
      </c>
      <c r="E49" s="116">
        <v>31370.107817197753</v>
      </c>
      <c r="F49" s="116"/>
      <c r="G49" s="116"/>
      <c r="H49" s="116"/>
      <c r="I49" s="115"/>
      <c r="J49" s="115">
        <v>-4219.7597999999925</v>
      </c>
      <c r="K49" s="116">
        <v>-9601.8061664457564</v>
      </c>
      <c r="L49" s="116"/>
      <c r="M49" s="116"/>
      <c r="N49" s="116"/>
      <c r="O49" s="115"/>
      <c r="P49" s="115">
        <v>13256.319563000001</v>
      </c>
      <c r="Q49" s="116">
        <v>2881.7531610982633</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888386.76640000008</v>
      </c>
      <c r="AT49" s="119">
        <v>32122.639510000001</v>
      </c>
      <c r="AU49" s="119"/>
      <c r="AV49" s="119"/>
      <c r="AW49" s="324"/>
    </row>
    <row r="50" spans="2:49" ht="25.5" x14ac:dyDescent="0.2">
      <c r="B50" s="161" t="s">
        <v>266</v>
      </c>
      <c r="C50" s="68"/>
      <c r="D50" s="115">
        <v>2677.44</v>
      </c>
      <c r="E50" s="116">
        <v>2463.6025958876298</v>
      </c>
      <c r="F50" s="116"/>
      <c r="G50" s="116"/>
      <c r="H50" s="116"/>
      <c r="I50" s="115"/>
      <c r="J50" s="115">
        <v>366.09000000000009</v>
      </c>
      <c r="K50" s="116">
        <v>112.00652660525233</v>
      </c>
      <c r="L50" s="116"/>
      <c r="M50" s="116"/>
      <c r="N50" s="116"/>
      <c r="O50" s="115"/>
      <c r="P50" s="115">
        <v>71.349999999999994</v>
      </c>
      <c r="Q50" s="116">
        <v>25.080395967448077</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9976.350000000004</v>
      </c>
      <c r="AT50" s="119">
        <v>306.02</v>
      </c>
      <c r="AU50" s="119"/>
      <c r="AV50" s="119"/>
      <c r="AW50" s="324"/>
    </row>
    <row r="51" spans="2:49" x14ac:dyDescent="0.2">
      <c r="B51" s="161" t="s">
        <v>267</v>
      </c>
      <c r="C51" s="68"/>
      <c r="D51" s="115">
        <v>5187248</v>
      </c>
      <c r="E51" s="116">
        <v>4772961.350511278</v>
      </c>
      <c r="F51" s="116"/>
      <c r="G51" s="116"/>
      <c r="H51" s="116"/>
      <c r="I51" s="115"/>
      <c r="J51" s="115">
        <v>715396</v>
      </c>
      <c r="K51" s="116">
        <v>218877.92921765434</v>
      </c>
      <c r="L51" s="116"/>
      <c r="M51" s="116"/>
      <c r="N51" s="116"/>
      <c r="O51" s="115"/>
      <c r="P51" s="115">
        <v>136484</v>
      </c>
      <c r="Q51" s="116">
        <v>47975.79205635855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16351700</v>
      </c>
      <c r="AT51" s="119">
        <v>631809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11104</v>
      </c>
      <c r="E56" s="128">
        <v>7076</v>
      </c>
      <c r="F56" s="128"/>
      <c r="G56" s="128"/>
      <c r="H56" s="128"/>
      <c r="I56" s="127"/>
      <c r="J56" s="127">
        <v>3172</v>
      </c>
      <c r="K56" s="128">
        <v>873</v>
      </c>
      <c r="L56" s="128"/>
      <c r="M56" s="128"/>
      <c r="N56" s="128"/>
      <c r="O56" s="127"/>
      <c r="P56" s="127">
        <v>2498</v>
      </c>
      <c r="Q56" s="128">
        <v>117</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89319</v>
      </c>
      <c r="AT56" s="129">
        <v>3463</v>
      </c>
      <c r="AU56" s="129"/>
      <c r="AV56" s="129"/>
      <c r="AW56" s="315"/>
    </row>
    <row r="57" spans="2:49" x14ac:dyDescent="0.2">
      <c r="B57" s="167" t="s">
        <v>273</v>
      </c>
      <c r="C57" s="68" t="s">
        <v>25</v>
      </c>
      <c r="D57" s="130">
        <v>22782</v>
      </c>
      <c r="E57" s="131">
        <v>14707</v>
      </c>
      <c r="F57" s="131"/>
      <c r="G57" s="131"/>
      <c r="H57" s="131"/>
      <c r="I57" s="130"/>
      <c r="J57" s="130">
        <v>6411</v>
      </c>
      <c r="K57" s="131">
        <v>1593</v>
      </c>
      <c r="L57" s="131"/>
      <c r="M57" s="131"/>
      <c r="N57" s="131"/>
      <c r="O57" s="130"/>
      <c r="P57" s="130">
        <v>3498</v>
      </c>
      <c r="Q57" s="131">
        <v>253</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97689</v>
      </c>
      <c r="AT57" s="132">
        <v>7830</v>
      </c>
      <c r="AU57" s="132"/>
      <c r="AV57" s="132"/>
      <c r="AW57" s="316"/>
    </row>
    <row r="58" spans="2:49" x14ac:dyDescent="0.2">
      <c r="B58" s="167" t="s">
        <v>274</v>
      </c>
      <c r="C58" s="68" t="s">
        <v>26</v>
      </c>
      <c r="D58" s="336"/>
      <c r="E58" s="337"/>
      <c r="F58" s="337"/>
      <c r="G58" s="337"/>
      <c r="H58" s="337"/>
      <c r="I58" s="336"/>
      <c r="J58" s="130">
        <v>157</v>
      </c>
      <c r="K58" s="131">
        <v>157</v>
      </c>
      <c r="L58" s="131"/>
      <c r="M58" s="131"/>
      <c r="N58" s="131"/>
      <c r="O58" s="130"/>
      <c r="P58" s="130">
        <v>5</v>
      </c>
      <c r="Q58" s="131">
        <v>5</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14</v>
      </c>
      <c r="AT58" s="132">
        <v>12</v>
      </c>
      <c r="AU58" s="132"/>
      <c r="AV58" s="132"/>
      <c r="AW58" s="316"/>
    </row>
    <row r="59" spans="2:49" x14ac:dyDescent="0.2">
      <c r="B59" s="167" t="s">
        <v>275</v>
      </c>
      <c r="C59" s="68" t="s">
        <v>27</v>
      </c>
      <c r="D59" s="130">
        <v>315508</v>
      </c>
      <c r="E59" s="131">
        <v>195438</v>
      </c>
      <c r="F59" s="131"/>
      <c r="G59" s="131"/>
      <c r="H59" s="131"/>
      <c r="I59" s="130"/>
      <c r="J59" s="130">
        <v>118699</v>
      </c>
      <c r="K59" s="131">
        <v>11126</v>
      </c>
      <c r="L59" s="131"/>
      <c r="M59" s="131"/>
      <c r="N59" s="131"/>
      <c r="O59" s="130"/>
      <c r="P59" s="130">
        <v>32439</v>
      </c>
      <c r="Q59" s="131">
        <v>2894</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1146199</v>
      </c>
      <c r="AT59" s="132">
        <v>87622</v>
      </c>
      <c r="AU59" s="132"/>
      <c r="AV59" s="132"/>
      <c r="AW59" s="316"/>
    </row>
    <row r="60" spans="2:49" x14ac:dyDescent="0.2">
      <c r="B60" s="167" t="s">
        <v>276</v>
      </c>
      <c r="C60" s="68"/>
      <c r="D60" s="133">
        <f>D$59/12</f>
        <v>26292.333333333332</v>
      </c>
      <c r="E60" s="134">
        <f>E$59/12</f>
        <v>16286.5</v>
      </c>
      <c r="F60" s="134">
        <f>F$59/12</f>
        <v>0</v>
      </c>
      <c r="G60" s="134">
        <f>G$59/12</f>
        <v>0</v>
      </c>
      <c r="H60" s="134">
        <f>H$59/12</f>
        <v>0</v>
      </c>
      <c r="I60" s="133">
        <f>I$59/12</f>
        <v>0</v>
      </c>
      <c r="J60" s="133">
        <f>J$59/12</f>
        <v>9891.5833333333339</v>
      </c>
      <c r="K60" s="134">
        <f>K$59/12</f>
        <v>927.16666666666663</v>
      </c>
      <c r="L60" s="134">
        <f>L$59/12</f>
        <v>0</v>
      </c>
      <c r="M60" s="134">
        <f>M$59/12</f>
        <v>0</v>
      </c>
      <c r="N60" s="134">
        <f>N$59/12</f>
        <v>0</v>
      </c>
      <c r="O60" s="133">
        <f>O$59/12</f>
        <v>0</v>
      </c>
      <c r="P60" s="133">
        <f>P$59/12</f>
        <v>2703.25</v>
      </c>
      <c r="Q60" s="134">
        <f>Q$59/12</f>
        <v>241.16666666666666</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95516.583333333328</v>
      </c>
      <c r="AT60" s="135">
        <f>AT$59/12</f>
        <v>7301.833333333333</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47256302</v>
      </c>
      <c r="E5" s="124">
        <v>42583478.25</v>
      </c>
      <c r="F5" s="124"/>
      <c r="G5" s="136"/>
      <c r="H5" s="136"/>
      <c r="I5" s="123"/>
      <c r="J5" s="123">
        <v>15515477</v>
      </c>
      <c r="K5" s="124">
        <v>5631207.6245425995</v>
      </c>
      <c r="L5" s="124"/>
      <c r="M5" s="124"/>
      <c r="N5" s="124"/>
      <c r="O5" s="123"/>
      <c r="P5" s="123">
        <v>2667806</v>
      </c>
      <c r="Q5" s="124">
        <v>1222359.9928592003</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291183958</v>
      </c>
      <c r="AT5" s="125">
        <v>8611744</v>
      </c>
      <c r="AU5" s="125"/>
      <c r="AV5" s="318"/>
      <c r="AW5" s="323"/>
    </row>
    <row r="6" spans="2:49" x14ac:dyDescent="0.2">
      <c r="B6" s="182" t="s">
        <v>279</v>
      </c>
      <c r="C6" s="139" t="s">
        <v>8</v>
      </c>
      <c r="D6" s="115">
        <v>349834</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79258</v>
      </c>
      <c r="AU6" s="119"/>
      <c r="AV6" s="317"/>
      <c r="AW6" s="324"/>
    </row>
    <row r="7" spans="2:49" x14ac:dyDescent="0.2">
      <c r="B7" s="182" t="s">
        <v>280</v>
      </c>
      <c r="C7" s="139" t="s">
        <v>9</v>
      </c>
      <c r="D7" s="115">
        <v>313947</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18746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552.81000000052154</v>
      </c>
      <c r="E9" s="294"/>
      <c r="F9" s="294"/>
      <c r="G9" s="294"/>
      <c r="H9" s="294"/>
      <c r="I9" s="298"/>
      <c r="J9" s="115">
        <v>-553.20000000001073</v>
      </c>
      <c r="K9" s="294"/>
      <c r="L9" s="294"/>
      <c r="M9" s="294"/>
      <c r="N9" s="294"/>
      <c r="O9" s="298"/>
      <c r="P9" s="115">
        <v>5050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-0.3900000003632158</v>
      </c>
      <c r="E11" s="116"/>
      <c r="F11" s="116"/>
      <c r="G11" s="116"/>
      <c r="H11" s="116"/>
      <c r="I11" s="115"/>
      <c r="J11" s="115">
        <v>-0.48000000000007503</v>
      </c>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-5850982</v>
      </c>
      <c r="AT11" s="119"/>
      <c r="AU11" s="119"/>
      <c r="AV11" s="317"/>
      <c r="AW11" s="324"/>
    </row>
    <row r="12" spans="2:49" x14ac:dyDescent="0.2">
      <c r="B12" s="182" t="s">
        <v>283</v>
      </c>
      <c r="C12" s="139" t="s">
        <v>44</v>
      </c>
      <c r="D12" s="115">
        <v>0.28000000095926225</v>
      </c>
      <c r="E12" s="295"/>
      <c r="F12" s="295"/>
      <c r="G12" s="295"/>
      <c r="H12" s="295"/>
      <c r="I12" s="299"/>
      <c r="J12" s="115">
        <v>-0.48000000001047738</v>
      </c>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-5405977</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1268061.7300000002</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1264744.68</v>
      </c>
      <c r="F16" s="116"/>
      <c r="G16" s="116"/>
      <c r="H16" s="116"/>
      <c r="I16" s="115"/>
      <c r="J16" s="115"/>
      <c r="K16" s="116">
        <v>139778.65</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7870</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-8842</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41320296</v>
      </c>
      <c r="E23" s="294"/>
      <c r="F23" s="294"/>
      <c r="G23" s="294"/>
      <c r="H23" s="294"/>
      <c r="I23" s="298"/>
      <c r="J23" s="115">
        <v>12313931</v>
      </c>
      <c r="K23" s="294"/>
      <c r="L23" s="294"/>
      <c r="M23" s="294"/>
      <c r="N23" s="294"/>
      <c r="O23" s="298"/>
      <c r="P23" s="115">
        <v>2460511</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235968914</v>
      </c>
      <c r="AT23" s="119">
        <v>6115454</v>
      </c>
      <c r="AU23" s="119"/>
      <c r="AV23" s="317"/>
      <c r="AW23" s="324"/>
    </row>
    <row r="24" spans="2:49" ht="28.5" customHeight="1" x14ac:dyDescent="0.2">
      <c r="B24" s="184" t="s">
        <v>114</v>
      </c>
      <c r="C24" s="139"/>
      <c r="D24" s="299"/>
      <c r="E24" s="116">
        <v>33713113.800000004</v>
      </c>
      <c r="F24" s="116"/>
      <c r="G24" s="116"/>
      <c r="H24" s="116"/>
      <c r="I24" s="115"/>
      <c r="J24" s="299"/>
      <c r="K24" s="116">
        <v>4647789.6400000006</v>
      </c>
      <c r="L24" s="116"/>
      <c r="M24" s="116"/>
      <c r="N24" s="116"/>
      <c r="O24" s="115"/>
      <c r="P24" s="299"/>
      <c r="Q24" s="116">
        <v>999525.95999999985</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4971041</v>
      </c>
      <c r="E26" s="294"/>
      <c r="F26" s="294"/>
      <c r="G26" s="294"/>
      <c r="H26" s="294"/>
      <c r="I26" s="298"/>
      <c r="J26" s="115">
        <v>1321308</v>
      </c>
      <c r="K26" s="294"/>
      <c r="L26" s="294"/>
      <c r="M26" s="294"/>
      <c r="N26" s="294"/>
      <c r="O26" s="298"/>
      <c r="P26" s="115">
        <v>434095</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22322409</v>
      </c>
      <c r="AT26" s="119">
        <v>910644</v>
      </c>
      <c r="AU26" s="119"/>
      <c r="AV26" s="317"/>
      <c r="AW26" s="324"/>
    </row>
    <row r="27" spans="2:49" s="11" customFormat="1" ht="25.5" x14ac:dyDescent="0.2">
      <c r="B27" s="184" t="s">
        <v>85</v>
      </c>
      <c r="C27" s="139"/>
      <c r="D27" s="299"/>
      <c r="E27" s="116">
        <v>436072.72300000011</v>
      </c>
      <c r="F27" s="116"/>
      <c r="G27" s="116"/>
      <c r="H27" s="116"/>
      <c r="I27" s="115"/>
      <c r="J27" s="299"/>
      <c r="K27" s="116">
        <v>71215.628345841717</v>
      </c>
      <c r="L27" s="116"/>
      <c r="M27" s="116"/>
      <c r="N27" s="116"/>
      <c r="O27" s="115"/>
      <c r="P27" s="299"/>
      <c r="Q27" s="116">
        <v>16462.715054158496</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7868460</v>
      </c>
      <c r="E28" s="295"/>
      <c r="F28" s="295"/>
      <c r="G28" s="295"/>
      <c r="H28" s="295"/>
      <c r="I28" s="299"/>
      <c r="J28" s="115">
        <v>1405259</v>
      </c>
      <c r="K28" s="295"/>
      <c r="L28" s="295"/>
      <c r="M28" s="295"/>
      <c r="N28" s="295"/>
      <c r="O28" s="299"/>
      <c r="P28" s="115">
        <v>488918</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18899175</v>
      </c>
      <c r="AT28" s="119">
        <v>784261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2354</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18965</v>
      </c>
      <c r="AU30" s="119"/>
      <c r="AV30" s="317"/>
      <c r="AW30" s="324"/>
    </row>
    <row r="31" spans="2:49" s="11" customFormat="1" ht="25.5" x14ac:dyDescent="0.2">
      <c r="B31" s="184" t="s">
        <v>84</v>
      </c>
      <c r="C31" s="139"/>
      <c r="D31" s="299"/>
      <c r="E31" s="116"/>
      <c r="F31" s="116"/>
      <c r="G31" s="116"/>
      <c r="H31" s="116"/>
      <c r="I31" s="115"/>
      <c r="J31" s="299"/>
      <c r="K31" s="116">
        <v>2353.86</v>
      </c>
      <c r="L31" s="116"/>
      <c r="M31" s="116"/>
      <c r="N31" s="116"/>
      <c r="O31" s="115"/>
      <c r="P31" s="299"/>
      <c r="Q31" s="116">
        <v>-1372.74</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1373</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28829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6149283</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595</v>
      </c>
      <c r="AU34" s="119"/>
      <c r="AV34" s="317"/>
      <c r="AW34" s="324"/>
    </row>
    <row r="35" spans="2:49" s="11" customFormat="1" x14ac:dyDescent="0.2">
      <c r="B35" s="184" t="s">
        <v>91</v>
      </c>
      <c r="C35" s="139"/>
      <c r="D35" s="299"/>
      <c r="E35" s="116">
        <v>6149283</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8231759</v>
      </c>
      <c r="E36" s="116">
        <v>8231759</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625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152309</v>
      </c>
      <c r="E38" s="294"/>
      <c r="F38" s="294"/>
      <c r="G38" s="294"/>
      <c r="H38" s="294"/>
      <c r="I38" s="298"/>
      <c r="J38" s="115">
        <v>553</v>
      </c>
      <c r="K38" s="294"/>
      <c r="L38" s="294"/>
      <c r="M38" s="294"/>
      <c r="N38" s="294"/>
      <c r="O38" s="298"/>
      <c r="P38" s="115">
        <v>5050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-852217</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327459</v>
      </c>
      <c r="E41" s="294"/>
      <c r="F41" s="294"/>
      <c r="G41" s="294"/>
      <c r="H41" s="294"/>
      <c r="I41" s="298"/>
      <c r="J41" s="115">
        <v>246</v>
      </c>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-5850982</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1500844</v>
      </c>
      <c r="E43" s="295"/>
      <c r="F43" s="295"/>
      <c r="G43" s="295"/>
      <c r="H43" s="295"/>
      <c r="I43" s="299"/>
      <c r="J43" s="115">
        <v>84</v>
      </c>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-5405977</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825421</v>
      </c>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113111</v>
      </c>
      <c r="E49" s="116">
        <v>258116.37</v>
      </c>
      <c r="F49" s="116"/>
      <c r="G49" s="116"/>
      <c r="H49" s="116"/>
      <c r="I49" s="115"/>
      <c r="J49" s="115">
        <v>2094</v>
      </c>
      <c r="K49" s="116">
        <v>105815.615949126</v>
      </c>
      <c r="L49" s="116"/>
      <c r="M49" s="116"/>
      <c r="N49" s="116"/>
      <c r="O49" s="115"/>
      <c r="P49" s="115">
        <v>2998</v>
      </c>
      <c r="Q49" s="116">
        <v>5606.9840508740217</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6268048</v>
      </c>
      <c r="AT49" s="119">
        <v>88</v>
      </c>
      <c r="AU49" s="119"/>
      <c r="AV49" s="317"/>
      <c r="AW49" s="324"/>
    </row>
    <row r="50" spans="2:49" x14ac:dyDescent="0.2">
      <c r="B50" s="182" t="s">
        <v>119</v>
      </c>
      <c r="C50" s="139" t="s">
        <v>34</v>
      </c>
      <c r="D50" s="115">
        <v>70520</v>
      </c>
      <c r="E50" s="295"/>
      <c r="F50" s="295"/>
      <c r="G50" s="295"/>
      <c r="H50" s="295"/>
      <c r="I50" s="299"/>
      <c r="J50" s="115">
        <v>24150.000000000004</v>
      </c>
      <c r="K50" s="295"/>
      <c r="L50" s="295"/>
      <c r="M50" s="295"/>
      <c r="N50" s="295"/>
      <c r="O50" s="299"/>
      <c r="P50" s="115">
        <v>1899</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3839507</v>
      </c>
      <c r="AT50" s="119">
        <v>1953</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-161632</v>
      </c>
      <c r="L53" s="116"/>
      <c r="M53" s="116"/>
      <c r="N53" s="116"/>
      <c r="O53" s="115"/>
      <c r="P53" s="115"/>
      <c r="Q53" s="116">
        <v>-10967</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35276734</v>
      </c>
      <c r="E54" s="121">
        <f>E24+E27+E31+E35-E36+E39+E42+E45+E46-E49+E51+E52+E53</f>
        <v>31808594.153000001</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12253732</v>
      </c>
      <c r="K54" s="121">
        <f>K24+K27+K31+K35-K36+K39+K42+K45+K46-K49+K51+K52+K53</f>
        <v>4453911.5123967165</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2409639</v>
      </c>
      <c r="Q54" s="121">
        <f>Q24+Q27+Q31+Q35-Q36+Q39+Q42+Q45+Q46-Q49+Q51+Q52+Q53</f>
        <v>998041.95100328431</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236491806</v>
      </c>
      <c r="AT54" s="122">
        <f>AT23+AT26-AT28+AT30-AT32+AT34-AT36+AT38+AT41-AT43+AT45+AT46-AT47-AT49+AT50+AT51+AT52+AT53</f>
        <v>6233808</v>
      </c>
      <c r="AU54" s="122">
        <f>AU23+AU26-AU28+AU30-AU32+AU34-AU36+AU38+AU41-AU43+AU45+AU46-AU47-AU49+AU50+AU51+AU52+AU53</f>
        <v>0</v>
      </c>
      <c r="AV54" s="317"/>
      <c r="AW54" s="324"/>
    </row>
    <row r="55" spans="2:49" ht="25.5" x14ac:dyDescent="0.2">
      <c r="B55" s="187" t="s">
        <v>304</v>
      </c>
      <c r="C55" s="143" t="s">
        <v>28</v>
      </c>
      <c r="D55" s="120">
        <f>MIN(MAX(0,D56),MAX(0,D57))</f>
        <v>77345</v>
      </c>
      <c r="E55" s="121">
        <f>MIN(MAX(0,E56),MAX(0,E57))</f>
        <v>71343.490000000005</v>
      </c>
      <c r="F55" s="121">
        <f>MIN(MAX(0,F56),MAX(0,F57))</f>
        <v>0</v>
      </c>
      <c r="G55" s="121">
        <f>MIN(MAX(0,G56),MAX(0,G57))</f>
        <v>0</v>
      </c>
      <c r="H55" s="121">
        <f>MIN(MAX(0,H56),MAX(0,H57))</f>
        <v>0</v>
      </c>
      <c r="I55" s="120">
        <f>MIN(MAX(0,I56),MAX(0,I57))</f>
        <v>0</v>
      </c>
      <c r="J55" s="120">
        <f>MIN(MAX(0,J56),MAX(0,J57))</f>
        <v>3783</v>
      </c>
      <c r="K55" s="121">
        <f>MIN(MAX(0,K56),MAX(0,K57))</f>
        <v>3506.94</v>
      </c>
      <c r="L55" s="121">
        <f>MIN(MAX(0,L56),MAX(0,L57))</f>
        <v>0</v>
      </c>
      <c r="M55" s="121">
        <f>MIN(MAX(0,M56),MAX(0,M57))</f>
        <v>0</v>
      </c>
      <c r="N55" s="121">
        <f>MIN(MAX(0,N56),MAX(0,N57))</f>
        <v>0</v>
      </c>
      <c r="O55" s="120">
        <f>MIN(MAX(0,O56),MAX(0,O57))</f>
        <v>0</v>
      </c>
      <c r="P55" s="120">
        <f>MIN(MAX(0,P56),MAX(0,P57))</f>
        <v>2380</v>
      </c>
      <c r="Q55" s="121">
        <f>MIN(MAX(0,Q56),MAX(0,Q57))</f>
        <v>2335.23</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77345</v>
      </c>
      <c r="E56" s="116">
        <v>71343.490000000005</v>
      </c>
      <c r="F56" s="116"/>
      <c r="G56" s="116"/>
      <c r="H56" s="116"/>
      <c r="I56" s="115"/>
      <c r="J56" s="115">
        <v>3783</v>
      </c>
      <c r="K56" s="116">
        <v>3506.94</v>
      </c>
      <c r="L56" s="116"/>
      <c r="M56" s="116"/>
      <c r="N56" s="116"/>
      <c r="O56" s="115"/>
      <c r="P56" s="115">
        <v>2380</v>
      </c>
      <c r="Q56" s="116">
        <v>2335.23</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193160</v>
      </c>
      <c r="E57" s="116">
        <v>185606.8</v>
      </c>
      <c r="F57" s="116"/>
      <c r="G57" s="116"/>
      <c r="H57" s="116"/>
      <c r="I57" s="115"/>
      <c r="J57" s="115">
        <v>41912</v>
      </c>
      <c r="K57" s="116">
        <v>9719.3400000000038</v>
      </c>
      <c r="L57" s="116"/>
      <c r="M57" s="116"/>
      <c r="N57" s="116"/>
      <c r="O57" s="115"/>
      <c r="P57" s="115">
        <v>28000</v>
      </c>
      <c r="Q57" s="116">
        <v>13301.78</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4295397</v>
      </c>
      <c r="AT57" s="119">
        <v>18939</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41597124.039999999</v>
      </c>
      <c r="D5" s="124">
        <v>42146601.289076686</v>
      </c>
      <c r="E5" s="352"/>
      <c r="F5" s="352"/>
      <c r="G5" s="318"/>
      <c r="H5" s="123">
        <v>7840376.2000000002</v>
      </c>
      <c r="I5" s="124">
        <v>5587635.8631251063</v>
      </c>
      <c r="J5" s="352"/>
      <c r="K5" s="352"/>
      <c r="L5" s="318"/>
      <c r="M5" s="123">
        <v>985792.09</v>
      </c>
      <c r="N5" s="124">
        <v>795529.39629820758</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41214803.559999995</v>
      </c>
      <c r="D6" s="116">
        <v>43316405.507212423</v>
      </c>
      <c r="E6" s="121">
        <f>SUM('Pt 1 Summary of Data'!E$12,'Pt 1 Summary of Data'!E$22)+SUM('Pt 1 Summary of Data'!G$12,'Pt 1 Summary of Data'!G$22)-SUM('Pt 1 Summary of Data'!H$12,'Pt 1 Summary of Data'!H$22)</f>
        <v>31879937.642999999</v>
      </c>
      <c r="F6" s="121">
        <f>SUM(C6:E6)</f>
        <v>116411146.71021241</v>
      </c>
      <c r="G6" s="122">
        <f>SUM('Pt 1 Summary of Data'!I$12,'Pt 1 Summary of Data'!I$22)</f>
        <v>0</v>
      </c>
      <c r="H6" s="115">
        <v>7838453.3000000035</v>
      </c>
      <c r="I6" s="116">
        <v>5543805.9077755734</v>
      </c>
      <c r="J6" s="121">
        <f>SUM('Pt 1 Summary of Data'!K$12,'Pt 1 Summary of Data'!K$22)+SUM('Pt 1 Summary of Data'!M$12,'Pt 1 Summary of Data'!M$22)-SUM('Pt 1 Summary of Data'!N$12,'Pt 1 Summary of Data'!N$22)</f>
        <v>4457418.4523967169</v>
      </c>
      <c r="K6" s="121">
        <f>SUM(H6:J6)</f>
        <v>17839677.660172295</v>
      </c>
      <c r="L6" s="122">
        <f>SUM('Pt 1 Summary of Data'!O$12,'Pt 1 Summary of Data'!O$22)</f>
        <v>0</v>
      </c>
      <c r="M6" s="115">
        <v>1426323.89</v>
      </c>
      <c r="N6" s="116">
        <v>779602.56831200642</v>
      </c>
      <c r="O6" s="121">
        <f>SUM('Pt 1 Summary of Data'!Q$12,'Pt 1 Summary of Data'!Q$22)+SUM('Pt 1 Summary of Data'!S$12,'Pt 1 Summary of Data'!S$22)-SUM('Pt 1 Summary of Data'!T$12,'Pt 1 Summary of Data'!T$22)</f>
        <v>1000377.1810032843</v>
      </c>
      <c r="P6" s="121">
        <f>SUM(M6:O6)</f>
        <v>3206303.6393152904</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650189.30999999994</v>
      </c>
      <c r="D7" s="116">
        <v>571929.7100000002</v>
      </c>
      <c r="E7" s="121">
        <f>SUM('Pt 1 Summary of Data'!E$37:E$41)+SUM('Pt 1 Summary of Data'!G$37:G$41)-SUM('Pt 1 Summary of Data'!H$37:H$41)+MAX(0,MIN('Pt 1 Summary of Data'!E$42+'Pt 1 Summary of Data'!G$42-'Pt 1 Summary of Data'!H$42,0.3%*('Pt 1 Summary of Data'!E$5+'Pt 1 Summary of Data'!G$5-'Pt 1 Summary of Data'!H$5-SUM(E$9:E$11))))</f>
        <v>393302.69999999995</v>
      </c>
      <c r="F7" s="121">
        <f>SUM(C7:E7)</f>
        <v>1615421.72</v>
      </c>
      <c r="G7" s="122">
        <f>SUM('Pt 1 Summary of Data'!I$37:I$41)+MAX(0,MIN('Pt 1 Summary of Data'!I$42,0.3%*('Pt 1 Summary of Data'!I$5-SUM(G$9:G$10))))</f>
        <v>0</v>
      </c>
      <c r="H7" s="115">
        <v>64517.24</v>
      </c>
      <c r="I7" s="116">
        <v>49722.209999999992</v>
      </c>
      <c r="J7" s="121">
        <f>SUM('Pt 1 Summary of Data'!K$37:K$41)+SUM('Pt 1 Summary of Data'!M$37:M$41)-SUM('Pt 1 Summary of Data'!N$37:N$41)+MAX(0,MIN('Pt 1 Summary of Data'!K$42+'Pt 1 Summary of Data'!M$42-'Pt 1 Summary of Data'!N$42,0.3%*('Pt 1 Summary of Data'!K$5+'Pt 1 Summary of Data'!M$5-'Pt 1 Summary of Data'!N$5-SUM(J$10:J$11))))</f>
        <v>69816.989999999991</v>
      </c>
      <c r="K7" s="121">
        <f>SUM(H7:J7)</f>
        <v>184056.43999999997</v>
      </c>
      <c r="L7" s="122">
        <f>SUM('Pt 1 Summary of Data'!O$37:O$41)+MAX(0,MIN('Pt 1 Summary of Data'!O$42,0.3%*('Pt 1 Summary of Data'!O$5-L$10)))</f>
        <v>0</v>
      </c>
      <c r="M7" s="115">
        <v>27295.68</v>
      </c>
      <c r="N7" s="116">
        <v>7233.260000000002</v>
      </c>
      <c r="O7" s="121">
        <f>SUM('Pt 1 Summary of Data'!Q$37:Q$41)+SUM('Pt 1 Summary of Data'!S$37:S$41)-SUM('Pt 1 Summary of Data'!T$37:T$41)+MAX(0,MIN('Pt 1 Summary of Data'!Q$42+'Pt 1 Summary of Data'!S$42-'Pt 1 Summary of Data'!T$42,0.3%*('Pt 1 Summary of Data'!Q$5+'Pt 1 Summary of Data'!S$5-'Pt 1 Summary of Data'!T$5)))</f>
        <v>25126.809999999994</v>
      </c>
      <c r="P7" s="121">
        <f>SUM(M7:O7)</f>
        <v>59655.75</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1268061.7300000002</v>
      </c>
      <c r="F9" s="121">
        <f>SUM(C9:E9)</f>
        <v>1268061.7300000002</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1264744.68</v>
      </c>
      <c r="F10" s="121">
        <f>SUM(C10:E10)</f>
        <v>1264744.68</v>
      </c>
      <c r="G10" s="122">
        <f>'Pt 2 Premium and Claims'!I$16</f>
        <v>0</v>
      </c>
      <c r="H10" s="298"/>
      <c r="I10" s="294"/>
      <c r="J10" s="121">
        <f>'Pt 2 Premium and Claims'!K$16+'Pt 2 Premium and Claims'!M$16-'Pt 2 Premium and Claims'!N$16</f>
        <v>139778.65</v>
      </c>
      <c r="K10" s="121">
        <f>SUM(H10:J10)</f>
        <v>139778.65</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41864992.869999997</v>
      </c>
      <c r="D12" s="121">
        <f>SUM(D$6:D$7)+IF(AND(OR('Company Information'!$C$12="District of Columbia",'Company Information'!$C$12="Massachusetts",'Company Information'!$C$12="Vermont"),SUM($C$6:$F$11,$C$15:$F$16,$C$37:$D$37)&lt;&gt;0),SUM(I$6:I$7),0)</f>
        <v>43888335.217212424</v>
      </c>
      <c r="E12" s="121">
        <f>SUM(E$6:E$7)-SUM(E$8:E$11)+IF(AND(OR('Company Information'!$C$12="District of Columbia",'Company Information'!$C$12="Massachusetts",'Company Information'!$C$12="Vermont"),SUM($C$6:$F$11,$C$15:$F$16,$C$37:$D$37)&lt;&gt;0),SUM(J$6:J$7)-SUM(J$10:J$11),0)</f>
        <v>29740433.932999998</v>
      </c>
      <c r="F12" s="121">
        <f>IFERROR(SUM(C$12:E$12)+C$17*MAX(0,E$49-C$49)+D$17*MAX(0,E$49-D$49),0)</f>
        <v>115493762.02021241</v>
      </c>
      <c r="G12" s="317"/>
      <c r="H12" s="120">
        <f>SUM(H$6:H$7)+IF(AND(OR('Company Information'!$C$12="District of Columbia",'Company Information'!$C$12="Massachusetts",'Company Information'!$C$12="Vermont"),SUM($H$6:$K$11,$H$15:$K$16,$H$37:$I$37)&lt;&gt;0),SUM(C$6:C$7),0)</f>
        <v>7902970.5400000038</v>
      </c>
      <c r="I12" s="121">
        <f>SUM(I$6:I$7)+IF(AND(OR('Company Information'!$C$12="District of Columbia",'Company Information'!$C$12="Massachusetts",'Company Information'!$C$12="Vermont"),SUM($H$6:$K$11,$H$15:$K$16,$H$37:$I$37)&lt;&gt;0),SUM(D$6:D$7),0)</f>
        <v>5593528.1177755734</v>
      </c>
      <c r="J12" s="121">
        <f>SUM(J$6:J$7)-SUM(J$10:J$11)+IF(AND(OR('Company Information'!$C$12="District of Columbia",'Company Information'!$C$12="Massachusetts",'Company Information'!$C$12="Vermont"),SUM($H$6:$K$11,$H$15:$K$16,$H$37:$I$37)&lt;&gt;0),SUM(E$6:E$7)-SUM(E$8:E$11),0)</f>
        <v>4387456.7923967168</v>
      </c>
      <c r="K12" s="121">
        <f>IFERROR(SUM(H$12:J$12)+H$17*MAX(0,J$49-H$49)+I$17*MAX(0,J$49-I$49),0)</f>
        <v>17883955.450172294</v>
      </c>
      <c r="L12" s="317"/>
      <c r="M12" s="120">
        <f>SUM(M$6:M$7)</f>
        <v>1453619.5699999998</v>
      </c>
      <c r="N12" s="121">
        <f>SUM(N$6:N$7)</f>
        <v>786835.82831200643</v>
      </c>
      <c r="O12" s="121">
        <f>SUM(O$6:O$7)</f>
        <v>1025503.9910032842</v>
      </c>
      <c r="P12" s="121">
        <f>SUM(M$12:O$12)+M$17*MAX(0,O$49-M$49)+N$17*MAX(0,O$49-N$49)</f>
        <v>3265959.3893152904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57070419.219999999</v>
      </c>
      <c r="D15" s="124">
        <v>52290450.555454776</v>
      </c>
      <c r="E15" s="112">
        <f>SUM('Pt 1 Summary of Data'!E$5:E$7)+SUM('Pt 1 Summary of Data'!G$5:G$7)-SUM('Pt 1 Summary of Data'!H$5:H$7)-SUM(E$9:E$11)+D$55</f>
        <v>42905852.821643613</v>
      </c>
      <c r="F15" s="112">
        <f>SUM(C15:E15)</f>
        <v>152266722.59709838</v>
      </c>
      <c r="G15" s="113">
        <f>SUM('Pt 1 Summary of Data'!I$5:I$7)-SUM(G$9:G$10)</f>
        <v>0</v>
      </c>
      <c r="H15" s="123">
        <v>7364669.8600000003</v>
      </c>
      <c r="I15" s="124">
        <v>5072241.193080239</v>
      </c>
      <c r="J15" s="112">
        <f>SUM('Pt 1 Summary of Data'!K$5:K$7)+SUM('Pt 1 Summary of Data'!M$5:M$7)-SUM('Pt 1 Summary of Data'!N$5:N$7)-SUM(J$10:J$11)+I$55</f>
        <v>5635175.2856623996</v>
      </c>
      <c r="K15" s="112">
        <f>SUM(H15:J15)</f>
        <v>18072086.338742636</v>
      </c>
      <c r="L15" s="113">
        <f>SUM('Pt 1 Summary of Data'!O$5:O$7)-L$10</f>
        <v>0</v>
      </c>
      <c r="M15" s="123">
        <v>1517237.03</v>
      </c>
      <c r="N15" s="124">
        <v>582617.41606378579</v>
      </c>
      <c r="O15" s="112">
        <f>SUM('Pt 1 Summary of Data'!Q$5:Q$7)+SUM('Pt 1 Summary of Data'!S$5:S$7)-SUM('Pt 1 Summary of Data'!T$5:T$7)+N$55</f>
        <v>1220406.8654320152</v>
      </c>
      <c r="P15" s="112">
        <f>SUM(M15:O15)</f>
        <v>3320261.311495801</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1454820.33</v>
      </c>
      <c r="D16" s="116">
        <v>1336113.6154724944</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2333188.1071723923</v>
      </c>
      <c r="F16" s="121">
        <f>SUM(C16:E16)</f>
        <v>5124122.052644887</v>
      </c>
      <c r="G16" s="122">
        <f>SUM('Pt 1 Summary of Data'!I$25:I$28,'Pt 1 Summary of Data'!I$30,'Pt 1 Summary of Data'!I$34:I$35)+IF('Company Information'!$C$15="No",IF(MAX('Pt 1 Summary of Data'!I$31:I$32)=0,MIN('Pt 1 Summary of Data'!I$31:I$32),MAX('Pt 1 Summary of Data'!I$31:I$32)),SUM('Pt 1 Summary of Data'!I$31:I$32))</f>
        <v>0</v>
      </c>
      <c r="H16" s="115">
        <v>-271298.62000000005</v>
      </c>
      <c r="I16" s="116">
        <v>79675.107421954279</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415614.36286449688</v>
      </c>
      <c r="K16" s="121">
        <f>SUM(H16:J16)</f>
        <v>223990.85028645111</v>
      </c>
      <c r="L16" s="122">
        <f>SUM('Pt 1 Summary of Data'!O$25:O$28,'Pt 1 Summary of Data'!O$30,'Pt 1 Summary of Data'!O$34:O$35)+IF('Company Information'!$C$15="No",IF(MAX('Pt 1 Summary of Data'!O$31:O$32)=0,MIN('Pt 1 Summary of Data'!O$31:O$32),MAX('Pt 1 Summary of Data'!O$31:O$32)),SUM('Pt 1 Summary of Data'!O$31:O$32))</f>
        <v>0</v>
      </c>
      <c r="M16" s="115">
        <v>98093.36</v>
      </c>
      <c r="N16" s="116">
        <v>3702.9365554729829</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102216.56194584559</v>
      </c>
      <c r="P16" s="121">
        <f>SUM(M16:O16)</f>
        <v>204012.85850131858</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55615598.890000001</v>
      </c>
      <c r="D17" s="121">
        <f>D$15-D$16+IF(AND(OR('Company Information'!$C$12="District of Columbia",'Company Information'!$C$12="Massachusetts",'Company Information'!$C$12="Vermont"),SUM($C$6:$F$11,$C$15:$F$16,$C$37:$D$37)&lt;&gt;0),I$15-I$16,0)</f>
        <v>50954336.93998228</v>
      </c>
      <c r="E17" s="121">
        <f>E$15-E$16+IF(AND(OR('Company Information'!$C$12="District of Columbia",'Company Information'!$C$12="Massachusetts",'Company Information'!$C$12="Vermont"),SUM($C$6:$F$11,$C$15:$F$16,$C$37:$D$37)&lt;&gt;0),J$15-J$16,0)</f>
        <v>40572664.714471221</v>
      </c>
      <c r="F17" s="121">
        <f>F$15-F$16+IF(AND(OR('Company Information'!$C$12="District of Columbia",'Company Information'!$C$12="Massachusetts",'Company Information'!$C$12="Vermont"),SUM($C$6:$F$11,$C$15:$F$16,$C$37:$D$37)&lt;&gt;0),K$15-K$16,0)</f>
        <v>147142600.5444535</v>
      </c>
      <c r="G17" s="320"/>
      <c r="H17" s="120">
        <f>H$15-H$16+IF(AND(OR('Company Information'!$C$12="District of Columbia",'Company Information'!$C$12="Massachusetts",'Company Information'!$C$12="Vermont"),SUM($H$6:$K$11,$H$15:$K$16,$H$37:$I$37)&lt;&gt;0),C$15-C$16,0)</f>
        <v>7635968.4800000004</v>
      </c>
      <c r="I17" s="121">
        <f>I$15-I$16+IF(AND(OR('Company Information'!$C$12="District of Columbia",'Company Information'!$C$12="Massachusetts",'Company Information'!$C$12="Vermont"),SUM($H$6:$K$11,$H$15:$K$16,$H$37:$I$37)&lt;&gt;0),D$15-D$16,0)</f>
        <v>4992566.0856582848</v>
      </c>
      <c r="J17" s="121">
        <f>J$15-J$16+IF(AND(OR('Company Information'!$C$12="District of Columbia",'Company Information'!$C$12="Massachusetts",'Company Information'!$C$12="Vermont"),SUM($H$6:$K$11,$H$15:$K$16,$H$37:$I$37)&lt;&gt;0),E$15-E$16,0)</f>
        <v>5219560.9227979025</v>
      </c>
      <c r="K17" s="121">
        <f>K$15-K$16+IF(AND(OR('Company Information'!$C$12="District of Columbia",'Company Information'!$C$12="Massachusetts",'Company Information'!$C$12="Vermont"),SUM($H$6:$K$11,$H$15:$K$16,$H$37:$I$37)&lt;&gt;0),F$15-F$16,0)</f>
        <v>17848095.488456186</v>
      </c>
      <c r="L17" s="320"/>
      <c r="M17" s="120">
        <f>M$15-M$16</f>
        <v>1419143.67</v>
      </c>
      <c r="N17" s="121">
        <f>N$15-N$16</f>
        <v>578914.47950831277</v>
      </c>
      <c r="O17" s="121">
        <f>O$15-O$16</f>
        <v>1118190.3034861695</v>
      </c>
      <c r="P17" s="121">
        <f>P$15-P$16</f>
        <v>3116248.4529944826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26505.583333333332</v>
      </c>
      <c r="D37" s="128">
        <v>22017</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16286.5</v>
      </c>
      <c r="F37" s="262">
        <f>SUM(C$37:E$37)+IF(AND(OR('Company Information'!$C$12="District of Columbia",'Company Information'!$C$12="Massachusetts",'Company Information'!$C$12="Vermont"),SUM($C$6:$F$11,$C$15:$F$16,$C$37:$D$37)&lt;&gt;0,SUM(C$37:D$37)&lt;&gt;SUM(H$37:I$37)),SUM(H$37:I$37),0)</f>
        <v>64809.083333333328</v>
      </c>
      <c r="G37" s="318"/>
      <c r="H37" s="127">
        <v>1075.25</v>
      </c>
      <c r="I37" s="128">
        <v>704</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927.16666666666663</v>
      </c>
      <c r="K37" s="262">
        <f>SUM(H$37:J$37)+IF(AND(OR('Company Information'!$C$12="District of Columbia",'Company Information'!$C$12="Massachusetts",'Company Information'!$C$12="Vermont"),SUM($H$6:$K$11,$H$15:$K$16,$H$37:$I$37)&lt;&gt;0,SUM(H$37:I$37)&lt;&gt;SUM(C$37:D$37)),SUM(C$37:D$37),0)</f>
        <v>2706.4166666666665</v>
      </c>
      <c r="L37" s="318"/>
      <c r="M37" s="127">
        <v>373.91666666666669</v>
      </c>
      <c r="N37" s="128">
        <v>126</v>
      </c>
      <c r="O37" s="262">
        <f>('Pt 1 Summary of Data'!Q$59+'Pt 1 Summary of Data'!S$59-'Pt 1 Summary of Data'!T$59)/12</f>
        <v>241.16666666666666</v>
      </c>
      <c r="P37" s="262">
        <f>SUM(M$37:O$37)</f>
        <v>741.08333333333337</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4.8916400000000027E-3</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5.0761500000000001E-2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4504.7656630323736</v>
      </c>
      <c r="G39" s="317"/>
      <c r="H39" s="298"/>
      <c r="I39" s="294"/>
      <c r="J39" s="294"/>
      <c r="K39" s="116"/>
      <c r="L39" s="317"/>
      <c r="M39" s="298"/>
      <c r="N39" s="294"/>
      <c r="O39" s="294"/>
      <c r="P39" s="116">
        <v>4483.0576041459035</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1.3548536911206819</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1.35278708391469</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6.6274565096335761E-3</v>
      </c>
      <c r="G41" s="317"/>
      <c r="H41" s="298"/>
      <c r="I41" s="294"/>
      <c r="J41" s="294"/>
      <c r="K41" s="266">
        <f ca="1">IF(OR(K$37&lt;1000,K$37&gt;=75000),0,K$38*K$40)</f>
        <v>5.0761500000000001E-2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0.7527563076827275</v>
      </c>
      <c r="D44" s="266">
        <f>IF(OR(D$37&lt;1000,D$17&lt;=0),"",D$12/D$17)</f>
        <v>0.86132678497823045</v>
      </c>
      <c r="E44" s="266">
        <f>IF(OR(E$37&lt;1000,E$17&lt;=0),"",E$12/E$17)</f>
        <v>0.73301653076763174</v>
      </c>
      <c r="F44" s="266">
        <f>IF(OR(F$37&lt;1000,F$17&lt;=0),"",F$12/F$17)</f>
        <v>0.78491043105711855</v>
      </c>
      <c r="G44" s="317"/>
      <c r="H44" s="268">
        <f>IF(OR(H$37&lt;1000,H$17&lt;=0),"",H$12/H$17)</f>
        <v>1.0349663648690184</v>
      </c>
      <c r="I44" s="266" t="str">
        <f>IF(OR(I$37&lt;1000,I$17&lt;=0),"",I$12/I$17)</f>
        <v/>
      </c>
      <c r="J44" s="266" t="str">
        <f>IF(OR(J$37&lt;1000,J$17&lt;=0),"",J$12/J$17)</f>
        <v/>
      </c>
      <c r="K44" s="266">
        <f>IF(OR(K$37&lt;1000,K$17&lt;=0),"",K$12/K$17)</f>
        <v>1.0020091758103435</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6.6274565096335761E-3</v>
      </c>
      <c r="G46" s="317"/>
      <c r="H46" s="298"/>
      <c r="I46" s="294"/>
      <c r="J46" s="294"/>
      <c r="K46" s="266">
        <f ca="1">IF(K$44="","",K$41)</f>
        <v>5.0761500000000001E-2</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0.79200000000000004</v>
      </c>
      <c r="G47" s="317"/>
      <c r="H47" s="298"/>
      <c r="I47" s="294"/>
      <c r="J47" s="294"/>
      <c r="K47" s="266">
        <f ca="1">IF(K$44="","",ROUND(K$44+MAX(0,K$46),3))</f>
        <v>1.0529999999999999</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2018</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0.79200000000000004</v>
      </c>
      <c r="G50" s="317"/>
      <c r="H50" s="299"/>
      <c r="I50" s="295"/>
      <c r="J50" s="295"/>
      <c r="K50" s="266">
        <f ca="1">K$47</f>
        <v>1.0529999999999999</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40572664.714471221</v>
      </c>
      <c r="G51" s="317"/>
      <c r="H51" s="298"/>
      <c r="I51" s="294"/>
      <c r="J51" s="294"/>
      <c r="K51" s="121">
        <f>IF(K$37&lt;1000,"",MAX(0,J$15-J$16))</f>
        <v>5219560.9227979025</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324581.31771577004</v>
      </c>
      <c r="G52" s="317"/>
      <c r="H52" s="298"/>
      <c r="I52" s="294"/>
      <c r="J52" s="294"/>
      <c r="K52" s="121">
        <f ca="1">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415895.38092351658</v>
      </c>
      <c r="E55" s="294"/>
      <c r="F55" s="294"/>
      <c r="G55" s="317"/>
      <c r="H55" s="298"/>
      <c r="I55" s="116">
        <v>9309.0983629999992</v>
      </c>
      <c r="J55" s="294"/>
      <c r="K55" s="294"/>
      <c r="L55" s="317"/>
      <c r="M55" s="298"/>
      <c r="N55" s="116">
        <v>403.04767867724001</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10481.728817916406</v>
      </c>
      <c r="E56" s="294"/>
      <c r="F56" s="294"/>
      <c r="G56" s="317"/>
      <c r="H56" s="298"/>
      <c r="I56" s="116">
        <v>144.0929854205861</v>
      </c>
      <c r="J56" s="294"/>
      <c r="K56" s="294"/>
      <c r="L56" s="317"/>
      <c r="M56" s="298"/>
      <c r="N56" s="116">
        <v>2.5154195452219219</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7076</v>
      </c>
      <c r="D4" s="155">
        <f>'Pt 1 Summary of Data'!$K$56+'Pt 1 Summary of Data'!$M$56-'Pt 1 Summary of Data'!$N$56</f>
        <v>873</v>
      </c>
      <c r="E4" s="155">
        <f>'Pt 1 Summary of Data'!$Q$56+'Pt 1 Summary of Data'!$S$56-'Pt 1 Summary of Data'!$T$56</f>
        <v>117</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9118</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699</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324581.31771577004</v>
      </c>
      <c r="D11" s="125">
        <f ca="1">'Pt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-2001.62</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324581.32</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152863.01081994697</v>
      </c>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17302.290000000005</v>
      </c>
      <c r="D22" s="218"/>
      <c r="E22" s="218"/>
      <c r="F22" s="218"/>
      <c r="G22" s="218"/>
      <c r="H22" s="218"/>
      <c r="I22" s="365"/>
      <c r="J22" s="365"/>
      <c r="K22" s="374"/>
    </row>
    <row r="23" spans="2:12" s="11" customFormat="1" ht="100.15" customHeight="1" x14ac:dyDescent="0.2">
      <c r="B23" s="108" t="s">
        <v>212</v>
      </c>
      <c r="C23" s="6" t="s">
        <v>506</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