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X49" i="10" l="1"/>
  <c r="W49" i="10"/>
  <c r="V49" i="10"/>
  <c r="U49" i="10"/>
  <c r="T49" i="10"/>
  <c r="S49" i="10"/>
  <c r="R49" i="10"/>
  <c r="Q49" i="10"/>
  <c r="H11" i="16"/>
  <c r="E11" i="16"/>
  <c r="D11" i="16"/>
  <c r="C11" i="16"/>
  <c r="H4" i="16"/>
  <c r="G4" i="16"/>
  <c r="F4" i="16"/>
  <c r="E4" i="16"/>
  <c r="D4" i="16"/>
  <c r="C4" i="16"/>
  <c r="AB52" i="10"/>
  <c r="X52" i="10"/>
  <c r="G11" i="16" s="1"/>
  <c r="T52" i="10"/>
  <c r="F11" i="16" s="1"/>
  <c r="P52" i="10"/>
  <c r="K52" i="10"/>
  <c r="F52" i="10"/>
  <c r="AB51" i="10"/>
  <c r="X51" i="10"/>
  <c r="T51" i="10"/>
  <c r="P51" i="10"/>
  <c r="K51" i="10"/>
  <c r="F51" i="10"/>
  <c r="AB50" i="10"/>
  <c r="P50" i="10"/>
  <c r="K50" i="10"/>
  <c r="F50" i="10"/>
  <c r="AB47" i="10"/>
  <c r="P47" i="10"/>
  <c r="K47" i="10"/>
  <c r="F47" i="10"/>
  <c r="AB46" i="10"/>
  <c r="P46" i="10"/>
  <c r="K46" i="10"/>
  <c r="F46" i="10"/>
  <c r="AB45" i="10"/>
  <c r="AA45" i="10"/>
  <c r="Z45" i="10"/>
  <c r="Y45" i="10"/>
  <c r="X45" i="10"/>
  <c r="X47" i="10" s="1"/>
  <c r="X50" i="10" s="1"/>
  <c r="W45" i="10"/>
  <c r="V45" i="10"/>
  <c r="U45" i="10"/>
  <c r="T45" i="10"/>
  <c r="T47" i="10" s="1"/>
  <c r="T50" i="10" s="1"/>
  <c r="S45" i="10"/>
  <c r="R45" i="10"/>
  <c r="Q45" i="10"/>
  <c r="P44" i="10"/>
  <c r="O44" i="10"/>
  <c r="N44" i="10"/>
  <c r="M44" i="10"/>
  <c r="K44" i="10"/>
  <c r="J44" i="10"/>
  <c r="I44" i="10"/>
  <c r="H44" i="10"/>
  <c r="F44" i="10"/>
  <c r="E44" i="10"/>
  <c r="D44" i="10"/>
  <c r="C44" i="10"/>
  <c r="AB41" i="10"/>
  <c r="X41" i="10"/>
  <c r="T41" i="10"/>
  <c r="P41" i="10"/>
  <c r="K41" i="10"/>
  <c r="F41" i="10"/>
  <c r="AB40" i="10"/>
  <c r="X40" i="10"/>
  <c r="T40" i="10"/>
  <c r="P40" i="10"/>
  <c r="K40" i="10"/>
  <c r="F40" i="10"/>
  <c r="K38" i="10"/>
  <c r="F38" i="10"/>
  <c r="AB37" i="10"/>
  <c r="AA37" i="10"/>
  <c r="X37" i="10"/>
  <c r="W37" i="10"/>
  <c r="T37" i="10"/>
  <c r="S37" i="10"/>
  <c r="P37" i="10"/>
  <c r="O37" i="10"/>
  <c r="K37" i="10"/>
  <c r="J37" i="10"/>
  <c r="F37" i="10"/>
  <c r="E37" i="10"/>
  <c r="L29" i="10"/>
  <c r="L28" i="10"/>
  <c r="L25" i="10"/>
  <c r="L24" i="10"/>
  <c r="L21" i="10"/>
  <c r="L20" i="10"/>
  <c r="L19" i="10"/>
  <c r="AB17" i="10"/>
  <c r="AA17" i="10"/>
  <c r="Z17" i="10"/>
  <c r="Y17" i="10"/>
  <c r="X17" i="10"/>
  <c r="W17" i="10"/>
  <c r="V17" i="10"/>
  <c r="U17" i="10"/>
  <c r="T17" i="10"/>
  <c r="S17" i="10"/>
  <c r="R17" i="10"/>
  <c r="Q17" i="10"/>
  <c r="P17" i="10"/>
  <c r="O17" i="10"/>
  <c r="N17" i="10"/>
  <c r="M17" i="10"/>
  <c r="K17" i="10"/>
  <c r="J17" i="10"/>
  <c r="I17" i="10"/>
  <c r="H17" i="10"/>
  <c r="F17" i="10"/>
  <c r="E17" i="10"/>
  <c r="D17" i="10"/>
  <c r="C17" i="10"/>
  <c r="AB16" i="10"/>
  <c r="AA16" i="10"/>
  <c r="X16" i="10"/>
  <c r="W16" i="10"/>
  <c r="T16" i="10"/>
  <c r="S16" i="10"/>
  <c r="P16" i="10"/>
  <c r="O16" i="10"/>
  <c r="L16" i="10"/>
  <c r="K16" i="10"/>
  <c r="J16" i="10"/>
  <c r="J12" i="10" s="1"/>
  <c r="G16" i="10"/>
  <c r="F16" i="10"/>
  <c r="E16" i="10"/>
  <c r="D12" i="10" s="1"/>
  <c r="AB15" i="10"/>
  <c r="AA15" i="10"/>
  <c r="X15" i="10"/>
  <c r="W15" i="10"/>
  <c r="T15" i="10"/>
  <c r="S15" i="10"/>
  <c r="S13" i="10" s="1"/>
  <c r="P15" i="10"/>
  <c r="O15" i="10"/>
  <c r="L15" i="10"/>
  <c r="K15" i="10"/>
  <c r="J15" i="10"/>
  <c r="H12" i="10" s="1"/>
  <c r="G15" i="10"/>
  <c r="F15" i="10"/>
  <c r="E15" i="10"/>
  <c r="AB13" i="10"/>
  <c r="AA13" i="10"/>
  <c r="Z13" i="10"/>
  <c r="Y13" i="10"/>
  <c r="W13" i="10"/>
  <c r="P12" i="10"/>
  <c r="O12" i="10"/>
  <c r="N12" i="10"/>
  <c r="M12" i="10"/>
  <c r="E12" i="10"/>
  <c r="C12" i="10"/>
  <c r="K11" i="10"/>
  <c r="J11" i="10"/>
  <c r="F11" i="10"/>
  <c r="E11" i="10"/>
  <c r="L10" i="10"/>
  <c r="K10" i="10"/>
  <c r="J10" i="10"/>
  <c r="G10" i="10"/>
  <c r="F10" i="10"/>
  <c r="E10" i="10"/>
  <c r="G9" i="10"/>
  <c r="F9" i="10"/>
  <c r="E9" i="10"/>
  <c r="F8" i="10"/>
  <c r="AB7" i="10"/>
  <c r="AA7" i="10"/>
  <c r="X7" i="10"/>
  <c r="W7" i="10"/>
  <c r="T7" i="10"/>
  <c r="S7" i="10"/>
  <c r="P7" i="10"/>
  <c r="O7" i="10"/>
  <c r="L7" i="10"/>
  <c r="J7" i="10"/>
  <c r="K7" i="10" s="1"/>
  <c r="G7" i="10"/>
  <c r="G25" i="10" s="1"/>
  <c r="E7" i="10"/>
  <c r="F7" i="10" s="1"/>
  <c r="AB6" i="10"/>
  <c r="AA6" i="10"/>
  <c r="X6" i="10"/>
  <c r="W6" i="10"/>
  <c r="T6" i="10"/>
  <c r="S6" i="10"/>
  <c r="P6" i="10"/>
  <c r="O6" i="10"/>
  <c r="L6" i="10"/>
  <c r="K6" i="10"/>
  <c r="J6" i="10"/>
  <c r="G6" i="10"/>
  <c r="F6" i="10"/>
  <c r="E6" i="10"/>
  <c r="AU55" i="18"/>
  <c r="AU22" i="4" s="1"/>
  <c r="AT55" i="18"/>
  <c r="AS55" i="18"/>
  <c r="AC55" i="18"/>
  <c r="AC22" i="4" s="1"/>
  <c r="AB55" i="18"/>
  <c r="AA55" i="18"/>
  <c r="Z55" i="18"/>
  <c r="Y55" i="18"/>
  <c r="X55" i="18"/>
  <c r="W55" i="18"/>
  <c r="V55" i="18"/>
  <c r="U55" i="18"/>
  <c r="T55" i="18"/>
  <c r="S55" i="18"/>
  <c r="R55" i="18"/>
  <c r="Q55" i="18"/>
  <c r="P55" i="18"/>
  <c r="O55" i="18"/>
  <c r="N55" i="18"/>
  <c r="N22" i="4" s="1"/>
  <c r="M55" i="18"/>
  <c r="M22" i="4" s="1"/>
  <c r="L55" i="18"/>
  <c r="K55" i="18"/>
  <c r="J55" i="18"/>
  <c r="I55" i="18"/>
  <c r="H55" i="18"/>
  <c r="G55" i="18"/>
  <c r="F55" i="18"/>
  <c r="E55" i="18"/>
  <c r="D55" i="18"/>
  <c r="AU54" i="18"/>
  <c r="AT54" i="18"/>
  <c r="AS54" i="18"/>
  <c r="AC54" i="18"/>
  <c r="AB54" i="18"/>
  <c r="AA54" i="18"/>
  <c r="Z54" i="18"/>
  <c r="Y54" i="18"/>
  <c r="X54" i="18"/>
  <c r="W54" i="18"/>
  <c r="W12" i="4" s="1"/>
  <c r="V54" i="18"/>
  <c r="U54" i="18"/>
  <c r="T54" i="18"/>
  <c r="S54" i="18"/>
  <c r="R54" i="18"/>
  <c r="R12" i="4" s="1"/>
  <c r="Q54" i="18"/>
  <c r="P54" i="18"/>
  <c r="O54" i="18"/>
  <c r="O12" i="4" s="1"/>
  <c r="N54" i="18"/>
  <c r="M54" i="18"/>
  <c r="M12" i="4" s="1"/>
  <c r="L54" i="18"/>
  <c r="L12" i="4" s="1"/>
  <c r="K54" i="18"/>
  <c r="J54" i="18"/>
  <c r="J12" i="4" s="1"/>
  <c r="I54" i="18"/>
  <c r="I12" i="4" s="1"/>
  <c r="H54" i="18"/>
  <c r="H12" i="4" s="1"/>
  <c r="G54" i="18"/>
  <c r="G12" i="4" s="1"/>
  <c r="F54" i="18"/>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T22" i="4"/>
  <c r="AS22" i="4"/>
  <c r="AB22" i="4"/>
  <c r="AA22" i="4"/>
  <c r="Z22" i="4"/>
  <c r="Y22" i="4"/>
  <c r="X22" i="4"/>
  <c r="W22" i="4"/>
  <c r="V22" i="4"/>
  <c r="U22" i="4"/>
  <c r="T22" i="4"/>
  <c r="S22" i="4"/>
  <c r="R22" i="4"/>
  <c r="Q22" i="4"/>
  <c r="P22" i="4"/>
  <c r="O22" i="4"/>
  <c r="L22" i="4"/>
  <c r="K22" i="4"/>
  <c r="J22" i="4"/>
  <c r="I22" i="4"/>
  <c r="H22" i="4"/>
  <c r="G22" i="4"/>
  <c r="F22" i="4"/>
  <c r="E22" i="4"/>
  <c r="D22" i="4"/>
  <c r="AU12" i="4"/>
  <c r="AT12" i="4"/>
  <c r="AS12" i="4"/>
  <c r="AC12" i="4"/>
  <c r="AB12" i="4"/>
  <c r="AA12" i="4"/>
  <c r="Z12" i="4"/>
  <c r="Y12" i="4"/>
  <c r="X12" i="4"/>
  <c r="V12" i="4"/>
  <c r="U12" i="4"/>
  <c r="T12" i="4"/>
  <c r="S12" i="4"/>
  <c r="Q12" i="4"/>
  <c r="P12" i="4"/>
  <c r="N12" i="4"/>
  <c r="K12" i="4"/>
  <c r="F12" i="4"/>
  <c r="AU5" i="4"/>
  <c r="AT5" i="4"/>
  <c r="AS5" i="4"/>
  <c r="AC5" i="4"/>
  <c r="AB5" i="4"/>
  <c r="AA5" i="4"/>
  <c r="Z5" i="4"/>
  <c r="Y5" i="4"/>
  <c r="X5" i="4"/>
  <c r="W5" i="4"/>
  <c r="V5" i="4"/>
  <c r="U5" i="4"/>
  <c r="T5" i="4"/>
  <c r="S5" i="4"/>
  <c r="R5" i="4"/>
  <c r="Q5" i="4"/>
  <c r="P5" i="4"/>
  <c r="O5" i="4"/>
  <c r="N5" i="4"/>
  <c r="M5" i="4"/>
  <c r="L5" i="4"/>
  <c r="K5" i="4"/>
  <c r="J5" i="4"/>
  <c r="I5" i="4"/>
  <c r="H5" i="4"/>
  <c r="G5" i="4"/>
  <c r="F5" i="4"/>
  <c r="E5" i="4"/>
  <c r="D5" i="4"/>
  <c r="G19" i="10" l="1"/>
  <c r="G21" i="10"/>
  <c r="G29" i="10"/>
  <c r="G20" i="10"/>
  <c r="G28" i="10"/>
  <c r="X38" i="10"/>
  <c r="X46" i="10"/>
  <c r="T46" i="10"/>
  <c r="T38" i="10"/>
  <c r="AB38" i="10"/>
  <c r="P38" i="10"/>
  <c r="L23" i="10"/>
  <c r="L27" i="10" s="1"/>
  <c r="T13" i="10"/>
  <c r="V13" i="10"/>
  <c r="I12" i="10"/>
  <c r="K12" i="10" s="1"/>
  <c r="F12" i="10"/>
  <c r="X13" i="10"/>
  <c r="U13" i="10"/>
  <c r="Q13" i="10"/>
  <c r="R13" i="10"/>
  <c r="L31" i="10" l="1"/>
  <c r="L32" i="10" s="1"/>
  <c r="L33" i="10" s="1"/>
  <c r="L26" i="10"/>
  <c r="L30" i="10" s="1"/>
  <c r="G27" i="10"/>
  <c r="G24" i="10"/>
  <c r="G23" i="10" s="1"/>
  <c r="G26" i="10" l="1"/>
  <c r="G30" i="10" s="1"/>
  <c r="G31" i="10"/>
  <c r="G32" i="10" s="1"/>
  <c r="G33" i="10" s="1"/>
</calcChain>
</file>

<file path=xl/sharedStrings.xml><?xml version="1.0" encoding="utf-8"?>
<sst xmlns="http://schemas.openxmlformats.org/spreadsheetml/2006/main" count="566" uniqueCount="505">
  <si>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</si>
  <si>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</si>
  <si>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</si>
  <si>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</si>
  <si>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</si>
  <si>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</si>
  <si>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</si>
  <si>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</si>
  <si>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</si>
  <si>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</si>
  <si>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</si>
  <si>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</si>
  <si>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</si>
  <si>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</si>
  <si>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</si>
  <si>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</si>
  <si>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</si>
  <si>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</si>
  <si>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</si>
  <si>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</si>
  <si>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</si>
  <si>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</si>
  <si>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</si>
  <si>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</si>
  <si>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</si>
  <si>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</si>
  <si>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</si>
  <si>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</si>
  <si>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</si>
  <si>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</si>
  <si>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</si>
  <si>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</si>
  <si>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</si>
  <si>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</si>
  <si>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</si>
  <si>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</si>
  <si>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</si>
  <si>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</si>
  <si>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</si>
  <si>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</si>
  <si>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</si>
  <si>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</si>
  <si>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</si>
  <si>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</si>
  <si>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</si>
  <si>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</si>
  <si>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</si>
  <si>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</si>
  <si>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</si>
  <si>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</si>
  <si>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</si>
  <si>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</si>
  <si>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</si>
  <si>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</si>
  <si>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</si>
  <si>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</si>
  <si>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</si>
  <si>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</si>
  <si>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</si>
  <si>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</si>
  <si>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</si>
  <si>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</si>
  <si>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</si>
  <si>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</si>
  <si>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</si>
  <si>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</si>
  <si>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</si>
  <si>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</si>
  <si>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</si>
  <si>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</si>
  <si>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</si>
  <si>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</si>
  <si>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</si>
  <si>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</si>
  <si>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</si>
  <si>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</si>
  <si>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</si>
  <si>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</si>
  <si>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</si>
  <si>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</si>
  <si>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</si>
  <si>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</si>
  <si>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</si>
  <si>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</si>
  <si>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</si>
  <si>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</si>
  <si>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</si>
  <si>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</si>
  <si>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</si>
  <si>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</si>
  <si>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</si>
  <si>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</si>
  <si>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</si>
  <si>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</si>
  <si>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</si>
  <si>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</si>
  <si>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</si>
  <si>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</si>
  <si>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</si>
  <si>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</si>
  <si>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</si>
  <si>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</si>
  <si>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</si>
  <si>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</si>
  <si>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</si>
  <si>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</si>
  <si>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</si>
  <si>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</si>
  <si>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</si>
  <si>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</si>
  <si>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</si>
  <si>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</si>
  <si>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</si>
  <si>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</si>
  <si>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</si>
  <si>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</si>
  <si>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</si>
  <si>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</si>
  <si>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</si>
  <si>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</si>
  <si>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</si>
  <si>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</si>
  <si>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</si>
  <si>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</si>
  <si>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</si>
  <si>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</si>
  <si>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</si>
  <si>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</si>
  <si>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</si>
  <si>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</si>
  <si>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</si>
  <si>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</si>
  <si>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</si>
  <si>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</si>
  <si>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</si>
  <si>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</si>
  <si>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</si>
  <si>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</si>
  <si>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</si>
  <si>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</si>
  <si>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</si>
  <si>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</si>
  <si>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</si>
  <si>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</si>
  <si>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</si>
  <si>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</si>
  <si>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</si>
  <si>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</si>
  <si>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</si>
  <si>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</si>
  <si>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</si>
  <si>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</si>
  <si>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</si>
  <si>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</si>
  <si>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</si>
  <si>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</si>
  <si>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</si>
  <si>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</si>
  <si>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</si>
  <si>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</si>
  <si>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</si>
  <si>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</si>
  <si>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</si>
  <si>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</si>
  <si>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</si>
  <si>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</si>
  <si>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</si>
  <si>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</si>
  <si>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</si>
  <si>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</si>
  <si>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</si>
  <si>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</si>
  <si>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</si>
  <si>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</si>
  <si>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</si>
  <si>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</si>
  <si>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</si>
  <si>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</si>
  <si>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</si>
  <si>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</si>
  <si>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</si>
  <si>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</si>
  <si>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</si>
  <si>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</si>
  <si>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</si>
  <si>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</si>
  <si>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</si>
  <si>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</si>
  <si>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</si>
  <si>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</si>
  <si>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</si>
  <si>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</si>
  <si>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</si>
  <si>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</si>
  <si>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</si>
  <si>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</si>
  <si>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</si>
  <si>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</si>
  <si>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</si>
  <si>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</si>
  <si>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</si>
  <si>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</si>
  <si>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</si>
  <si>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</si>
  <si>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</si>
  <si>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</si>
  <si>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</si>
  <si>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</si>
  <si>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</si>
  <si>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</si>
  <si>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</si>
  <si>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</si>
  <si>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</si>
  <si>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</si>
  <si>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</si>
  <si>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</si>
  <si>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</si>
  <si>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</si>
  <si>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</si>
  <si>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</si>
  <si>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</si>
  <si>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</si>
  <si>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</si>
  <si>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</si>
  <si>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</si>
  <si>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</si>
  <si>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</si>
  <si>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</si>
  <si>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</si>
  <si>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</si>
  <si>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</si>
  <si>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</si>
  <si>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</si>
  <si>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</si>
  <si>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</si>
  <si>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</si>
  <si>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</si>
  <si>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</si>
  <si>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</si>
  <si>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</si>
  <si>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</si>
  <si>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</si>
  <si>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</si>
  <si>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</si>
  <si>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</si>
  <si>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</si>
  <si>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</si>
  <si>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</si>
  <si>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</si>
  <si>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</si>
  <si>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</si>
  <si>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</si>
  <si>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</si>
  <si>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</si>
  <si>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</si>
  <si>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</si>
  <si>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</si>
  <si>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</si>
  <si>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</si>
  <si>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</si>
  <si>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</si>
  <si>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</si>
  <si>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</si>
  <si>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</si>
  <si>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</si>
  <si>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</si>
  <si>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</si>
  <si>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</si>
  <si>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</si>
  <si>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</si>
  <si>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</si>
  <si>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</si>
  <si>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</si>
  <si>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</si>
  <si>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</si>
  <si>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</si>
  <si>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</si>
  <si>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</si>
  <si>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</si>
  <si>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</si>
  <si>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</si>
  <si>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</si>
  <si>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</si>
  <si>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</si>
  <si>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</si>
  <si>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</si>
  <si>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</si>
  <si>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</si>
  <si>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</si>
  <si>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</si>
  <si>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</si>
  <si>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</si>
  <si>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</si>
  <si>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</si>
  <si>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</si>
  <si>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</si>
  <si>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</si>
  <si>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</si>
  <si>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</si>
  <si>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</si>
  <si>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</si>
  <si>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</si>
  <si>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</si>
  <si>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</si>
  <si>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</si>
  <si>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</si>
  <si>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</si>
  <si>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</si>
  <si>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</si>
  <si>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</si>
  <si>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</si>
  <si>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</si>
  <si>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</si>
  <si>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</si>
  <si>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</si>
  <si>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</si>
  <si>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</si>
  <si>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</si>
  <si>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</si>
  <si>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</si>
  <si>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</si>
  <si>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</si>
  <si>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</si>
  <si>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</si>
  <si>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</si>
  <si>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</si>
  <si>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</si>
  <si>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</si>
  <si>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</si>
  <si>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</si>
  <si>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</si>
  <si>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</si>
  <si>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</si>
  <si>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</si>
  <si>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</si>
  <si>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</si>
  <si>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</si>
  <si>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</si>
  <si>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</si>
  <si>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</si>
  <si>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</si>
  <si>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</si>
  <si>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</si>
  <si>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</si>
  <si>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</si>
  <si>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</si>
  <si>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</si>
  <si>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</si>
  <si>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</si>
  <si>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</si>
  <si>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</si>
  <si>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</si>
  <si>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</si>
  <si>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</si>
  <si>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</si>
  <si>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</si>
  <si>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</si>
  <si>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</si>
  <si>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</si>
  <si>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</si>
  <si>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</si>
  <si>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</si>
  <si>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</si>
  <si>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</si>
  <si>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</si>
  <si>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</si>
  <si>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</si>
  <si>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</si>
  <si>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</si>
  <si>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</si>
  <si>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</si>
  <si>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</si>
  <si>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</si>
  <si>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</si>
  <si>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</si>
  <si>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</si>
  <si>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</si>
  <si>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</si>
  <si>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</si>
  <si>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</si>
  <si>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</si>
  <si>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</si>
  <si>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</si>
  <si>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</si>
  <si>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</si>
  <si>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</si>
  <si>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</si>
  <si>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</si>
  <si>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</si>
  <si>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</si>
  <si>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</si>
  <si>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</si>
  <si>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</si>
  <si>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</si>
  <si>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</si>
  <si>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</si>
  <si>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</si>
  <si>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</si>
  <si>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</si>
  <si>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</si>
  <si>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</si>
  <si>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</si>
  <si>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</si>
  <si>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</si>
  <si>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</si>
  <si>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</si>
  <si>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</si>
  <si>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</si>
  <si>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</si>
  <si>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</si>
  <si>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</si>
  <si>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</si>
  <si>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</si>
  <si>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</si>
  <si>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</si>
  <si>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</si>
  <si>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</si>
  <si>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</si>
  <si>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</si>
  <si>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</si>
  <si>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</si>
  <si>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</si>
  <si>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</si>
  <si>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</si>
  <si>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</si>
  <si>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</si>
  <si>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</si>
  <si>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</si>
  <si>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</si>
  <si>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</si>
  <si>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</si>
  <si>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</si>
  <si>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</si>
  <si>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</si>
  <si>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</si>
  <si>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</si>
  <si>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</si>
  <si>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</si>
  <si>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</si>
  <si>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</si>
  <si>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</si>
  <si>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</si>
  <si>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</si>
  <si>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</si>
  <si>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</si>
  <si>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</si>
  <si>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</si>
  <si>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</si>
  <si>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</si>
  <si>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</si>
  <si>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</si>
  <si>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</si>
  <si>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</si>
  <si>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</si>
  <si>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</si>
  <si>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</si>
  <si>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</si>
  <si>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</si>
  <si>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</si>
  <si>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</si>
  <si>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</si>
  <si>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</si>
  <si>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</si>
  <si>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</si>
  <si>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</si>
  <si>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</si>
  <si>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</si>
  <si>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</si>
  <si>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</si>
  <si>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</si>
  <si>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</si>
  <si>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</si>
  <si>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</si>
  <si>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</si>
  <si>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</si>
  <si>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</si>
  <si>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</si>
  <si>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</si>
  <si>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</si>
  <si>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</si>
  <si>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</si>
  <si>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</si>
  <si>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</si>
  <si>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</si>
  <si>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</si>
  <si>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</si>
  <si>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</si>
  <si>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</si>
  <si>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</si>
  <si>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</si>
  <si>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</si>
  <si>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</si>
  <si>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</si>
  <si>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</si>
  <si>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Humana Insurance Company</t>
  </si>
  <si>
    <t>HUMANA GRP</t>
  </si>
  <si>
    <t>Humana</t>
  </si>
  <si>
    <t>119</t>
  </si>
  <si>
    <t>2014</t>
  </si>
  <si>
    <t>1100 Employers Boulevard DePere, WI 54115</t>
  </si>
  <si>
    <t>391263473</t>
  </si>
  <si>
    <t>073288</t>
  </si>
  <si>
    <t>73288</t>
  </si>
  <si>
    <t>88426</t>
  </si>
  <si>
    <t>219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</si>
</sst>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144</v>
      </c>
    </row>
    <row r="13" spans="1:6" x14ac:dyDescent="0.2">
      <c r="B13" s="238" t="s">
        <v>50</v>
      </c>
      <c r="C13" s="384" t="s">
        <v>192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SUM('Pt 2 Premium and Claims'!D$5,'Pt 2 Premium and Claims'!D$6,-'Pt 2 Premium and Claims'!D$7,-'Pt 2 Premium and Claims'!D$13,'Pt 2 Premium and Claims'!D$14:'Pt 2 Premium and Claims'!D$17)</f>
        <v>0</v>
      </c>
      <c r="E5" s="112">
        <f>SUM('Pt 2 Premium and Claims'!E$5,'Pt 2 Premium and Claims'!E$6,-'Pt 2 Premium and Claims'!E$7,-'Pt 2 Premium and Claims'!E$13,'Pt 2 Premium and Claims'!E$14:'Pt 2 Premium and Claims'!E$17)</f>
        <v>0</v>
      </c>
      <c r="F5" s="112">
        <f>SUM('Pt 2 Premium and Claims'!F$5,'Pt 2 Premium and Claims'!F$6,-'Pt 2 Premium and Claims'!F$7,-'Pt 2 Premium and Claims'!F$13,'Pt 2 Premium and Claims'!F$14:'Pt 2 Premium and Claims'!F$17)</f>
        <v>0</v>
      </c>
      <c r="G5" s="112">
        <f>SUM('Pt 2 Premium and Claims'!G$5,'Pt 2 Premium and Claims'!G$6,-'Pt 2 Premium and Claims'!G$7,-'Pt 2 Premium and Claims'!G$13,'Pt 2 Premium and Claims'!G$14:'Pt 2 Premium and Claims'!G$17)</f>
        <v>0</v>
      </c>
      <c r="H5" s="112">
        <f>SUM('Pt 2 Premium and Claims'!H$5,'Pt 2 Premium and Claims'!H$6,-'Pt 2 Premium and Claims'!H$7,-'Pt 2 Premium and Claims'!H$13,'Pt 2 Premium and Claims'!H$14:'Pt 2 Premium and Claims'!H$17)</f>
        <v>0</v>
      </c>
      <c r="I5" s="111">
        <f>SUM('Pt 2 Premium and Claims'!I$5,'Pt 2 Premium and Claims'!I$6,-'Pt 2 Premium and Claims'!I$7,-'Pt 2 Premium and Claims'!I$13,'Pt 2 Premium and Claims'!I$14:'Pt 2 Premium and Claims'!I$16)</f>
        <v>0</v>
      </c>
      <c r="J5" s="111">
        <f>SUM('Pt 2 Premium and Claims'!J$5,'Pt 2 Premium and Claims'!J$6,-'Pt 2 Premium and Claims'!J$7,-'Pt 2 Premium and Claims'!J$13,'Pt 2 Premium and Claims'!J$14,'Pt 2 Premium and Claims'!J$16:'Pt 2 Premium and Claims'!J$17)</f>
        <v>0</v>
      </c>
      <c r="K5" s="112">
        <f>SUM('Pt 2 Premium and Claims'!K$5,'Pt 2 Premium and Claims'!K$6,-'Pt 2 Premium and Claims'!K$7,-'Pt 2 Premium and Claims'!K$13,'Pt 2 Premium and Claims'!K$14,'Pt 2 Premium and Claims'!K$16:'Pt 2 Premium and Claims'!K$17)</f>
        <v>0</v>
      </c>
      <c r="L5" s="112">
        <f>SUM('Pt 2 Premium and Claims'!L$5,'Pt 2 Premium and Claims'!L$6,-'Pt 2 Premium and Claims'!L$7,-'Pt 2 Premium and Claims'!L$13,'Pt 2 Premium and Claims'!L$14,'Pt 2 Premium and Claims'!L$16:'Pt 2 Premium and Claims'!L$17)</f>
        <v>0</v>
      </c>
      <c r="M5" s="112">
        <f>SUM('Pt 2 Premium and Claims'!M$5,'Pt 2 Premium and Claims'!M$6,-'Pt 2 Premium and Claims'!M$7,-'Pt 2 Premium and Claims'!M$13,'Pt 2 Premium and Claims'!M$14,'Pt 2 Premium and Claims'!M$16:'Pt 2 Premium and Claims'!M$17)</f>
        <v>0</v>
      </c>
      <c r="N5" s="112">
        <f>SUM('Pt 2 Premium and Claims'!N$5,'Pt 2 Premium and Claims'!N$6,-'Pt 2 Premium and Claims'!N$7,-'Pt 2 Premium and Claims'!N$13,'Pt 2 Premium and Claims'!N$14,'Pt 2 Premium and Claims'!N$16:'Pt 2 Premium and Claims'!N$17)</f>
        <v>0</v>
      </c>
      <c r="O5" s="111">
        <f>SUM('Pt 2 Premium and Claims'!O$5,'Pt 2 Premium and Claims'!O$6,-'Pt 2 Premium and Claims'!O$7,-'Pt 2 Premium and Claims'!O$13,'Pt 2 Premium and Claims'!O$14,'Pt 2 Premium and Claims'!O$16)</f>
        <v>0</v>
      </c>
      <c r="P5" s="111">
        <f>SUM('Pt 2 Premium and Claims'!P$5,'Pt 2 Premium and Claims'!P$6,-'Pt 2 Premium and Claims'!P$7,-'Pt 2 Premium and Claims'!P$13,'Pt 2 Premium and Claims'!P$14)</f>
        <v>0</v>
      </c>
      <c r="Q5" s="112">
        <f>SUM('Pt 2 Premium and Claims'!Q$5,'Pt 2 Premium and Claims'!Q$6,-'Pt 2 Premium and Claims'!Q$7,-'Pt 2 Premium and Claims'!Q$13,'Pt 2 Premium and Claims'!Q$14)</f>
        <v>0</v>
      </c>
      <c r="R5" s="112">
        <f>SUM('Pt 2 Premium and Claims'!R$5,'Pt 2 Premium and Claims'!R$6,-'Pt 2 Premium and Claims'!R$7,-'Pt 2 Premium and Claims'!R$13,'Pt 2 Premium and Claims'!R$14)</f>
        <v>0</v>
      </c>
      <c r="S5" s="112">
        <f>SUM('Pt 2 Premium and Claims'!S$5,'Pt 2 Premium and Claims'!S$6,-'Pt 2 Premium and Claims'!S$7,-'Pt 2 Premium and Claims'!S$13,'Pt 2 Premium and Claims'!S$14)</f>
        <v>0</v>
      </c>
      <c r="T5" s="112">
        <f>SUM('Pt 2 Premium and Claims'!T$5,'Pt 2 Premium and Claims'!T$6,-'Pt 2 Premium and Claims'!T$7,-'Pt 2 Premium and Claims'!T$13,'Pt 2 Premium and Claims'!T$14)</f>
        <v>0</v>
      </c>
      <c r="U5" s="111">
        <f>SUM('Pt 2 Premium and Claims'!U$5,'Pt 2 Premium and Claims'!U$6,-'Pt 2 Premium and Claims'!U$7,-'Pt 2 Premium and Claims'!U$13,'Pt 2 Premium and Claims'!U$14)</f>
        <v>0</v>
      </c>
      <c r="V5" s="112">
        <f>SUM('Pt 2 Premium and Claims'!V$5,'Pt 2 Premium and Claims'!V$6,-'Pt 2 Premium and Claims'!V$7,-'Pt 2 Premium and Claims'!V$13,'Pt 2 Premium and Claims'!V$14)</f>
        <v>0</v>
      </c>
      <c r="W5" s="112">
        <f>SUM('Pt 2 Premium and Claims'!W$5,'Pt 2 Premium and Claims'!W$6,-'Pt 2 Premium and Claims'!W$7,-'Pt 2 Premium and Claims'!W$13,'Pt 2 Premium and Claims'!W$14)</f>
        <v>0</v>
      </c>
      <c r="X5" s="111">
        <f>SUM('Pt 2 Premium and Claims'!X$5,'Pt 2 Premium and Claims'!X$6,-'Pt 2 Premium and Claims'!X$7,-'Pt 2 Premium and Claims'!X$13,'Pt 2 Premium and Claims'!X$14)</f>
        <v>0</v>
      </c>
      <c r="Y5" s="112">
        <f>SUM('Pt 2 Premium and Claims'!Y$5,'Pt 2 Premium and Claims'!Y$6,-'Pt 2 Premium and Claims'!Y$7,-'Pt 2 Premium and Claims'!Y$13,'Pt 2 Premium and Claims'!Y$14)</f>
        <v>0</v>
      </c>
      <c r="Z5" s="112">
        <f>SUM('Pt 2 Premium and Claims'!Z$5,'Pt 2 Premium and Claims'!Z$6,-'Pt 2 Premium and Claims'!Z$7,-'Pt 2 Premium and Claims'!Z$13,'Pt 2 Premium and Claims'!Z$14)</f>
        <v>0</v>
      </c>
      <c r="AA5" s="111">
        <f>SUM('Pt 2 Premium and Claims'!AA$5,'Pt 2 Premium and Claims'!AA$6,-'Pt 2 Premium and Claims'!AA$7,-'Pt 2 Premium and Claims'!AA$13,'Pt 2 Premium and Claims'!AA$14)</f>
        <v>0</v>
      </c>
      <c r="AB5" s="112">
        <f>SUM('Pt 2 Premium and Claims'!AB$5,'Pt 2 Premium and Claims'!AB$6,-'Pt 2 Premium and Claims'!AB$7,-'Pt 2 Premium and Claims'!AB$13,'Pt 2 Premium and Claims'!AB$14)</f>
        <v>0</v>
      </c>
      <c r="AC5" s="112">
        <f>SUM('Pt 2 Premium and Claims'!AC$5,'Pt 2 Premium and Claims'!AC$6,-'Pt 2 Premium and Claims'!AC$7,-'Pt 2 Premium and Claims'!AC$13,'Pt 2 Premium and Claims'!AC$14)</f>
        <v>0</v>
      </c>
      <c r="AD5" s="111"/>
      <c r="AE5" s="301"/>
      <c r="AF5" s="301"/>
      <c r="AG5" s="301"/>
      <c r="AH5" s="302"/>
      <c r="AI5" s="111"/>
      <c r="AJ5" s="301"/>
      <c r="AK5" s="301"/>
      <c r="AL5" s="301"/>
      <c r="AM5" s="302"/>
      <c r="AN5" s="111"/>
      <c r="AO5" s="112"/>
      <c r="AP5" s="112"/>
      <c r="AQ5" s="112"/>
      <c r="AR5" s="112"/>
      <c r="AS5" s="111">
        <f>SUM('Pt 2 Premium and Claims'!AS$5,'Pt 2 Premium and Claims'!AS$6,-'Pt 2 Premium and Claims'!AS$7,-'Pt 2 Premium and Claims'!AS$13,'Pt 2 Premium and Claims'!AS$14)</f>
        <v>15799835</v>
      </c>
      <c r="AT5" s="113">
        <f>SUM('Pt 2 Premium and Claims'!AT$5,'Pt 2 Premium and Claims'!AT$6,-'Pt 2 Premium and Claims'!AT$7,-'Pt 2 Premium and Claims'!AT$13,'Pt 2 Premium and Claims'!AT$14)</f>
        <v>3358112</v>
      </c>
      <c r="AU5" s="113">
        <f>SUM('Pt 2 Premium and Claims'!AU$5,'Pt 2 Premium and Claims'!AU$6,-'Pt 2 Premium and Claims'!AU$7,-'Pt 2 Premium and Claims'!AU$13,'Pt 2 Premium and Claims'!AU$14)</f>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v>13698</v>
      </c>
      <c r="AT8" s="119">
        <v>4728</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0</v>
      </c>
      <c r="E12" s="112">
        <f>'Pt 2 Premium and Claims'!E$54</f>
        <v>0</v>
      </c>
      <c r="F12" s="112">
        <f>'Pt 2 Premium and Claims'!F$54</f>
        <v>0</v>
      </c>
      <c r="G12" s="112">
        <f>'Pt 2 Premium and Claims'!G$54</f>
        <v>0</v>
      </c>
      <c r="H12" s="112">
        <f>'Pt 2 Premium and Claims'!H$54</f>
        <v>0</v>
      </c>
      <c r="I12" s="111">
        <f>'Pt 2 Premium and Claims'!I$54</f>
        <v>0</v>
      </c>
      <c r="J12" s="111">
        <f>'Pt 2 Premium and Claims'!J$54</f>
        <v>0</v>
      </c>
      <c r="K12" s="112">
        <f>'Pt 2 Premium and Claims'!K$54</f>
        <v>0</v>
      </c>
      <c r="L12" s="112">
        <f>'Pt 2 Premium and Claims'!L$54</f>
        <v>0</v>
      </c>
      <c r="M12" s="112">
        <f>'Pt 2 Premium and Claims'!M$54</f>
        <v>0</v>
      </c>
      <c r="N12" s="112">
        <f>'Pt 2 Premium and Claims'!N$54</f>
        <v>0</v>
      </c>
      <c r="O12" s="111">
        <f>'Pt 2 Premium and Claims'!O$54</f>
        <v>0</v>
      </c>
      <c r="P12" s="111">
        <f>'Pt 2 Premium and Claims'!P$54</f>
        <v>0</v>
      </c>
      <c r="Q12" s="112">
        <f>'Pt 2 Premium and Claims'!Q$54</f>
        <v>0</v>
      </c>
      <c r="R12" s="112">
        <f>'Pt 2 Premium and Claims'!R$54</f>
        <v>0</v>
      </c>
      <c r="S12" s="112">
        <f>'Pt 2 Premium and Claims'!S$54</f>
        <v>0</v>
      </c>
      <c r="T12" s="112">
        <f>'Pt 2 Premium and Claims'!T$54</f>
        <v>0</v>
      </c>
      <c r="U12" s="111">
        <f>'Pt 2 Premium and Claims'!U$54</f>
        <v>0</v>
      </c>
      <c r="V12" s="112">
        <f>'Pt 2 Premium and Claims'!V$54</f>
        <v>0</v>
      </c>
      <c r="W12" s="112">
        <f>'Pt 2 Premium and Claims'!W$54</f>
        <v>0</v>
      </c>
      <c r="X12" s="111">
        <f>'Pt 2 Premium and Claims'!X$54</f>
        <v>0</v>
      </c>
      <c r="Y12" s="112">
        <f>'Pt 2 Premium and Claims'!Y$54</f>
        <v>0</v>
      </c>
      <c r="Z12" s="112">
        <f>'Pt 2 Premium and Claims'!Z$54</f>
        <v>0</v>
      </c>
      <c r="AA12" s="111">
        <f>'Pt 2 Premium and Claims'!AA$54</f>
        <v>0</v>
      </c>
      <c r="AB12" s="112">
        <f>'Pt 2 Premium and Claims'!AB$54</f>
        <v>0</v>
      </c>
      <c r="AC12" s="112">
        <f>'Pt 2 Premium and Claims'!AC$54</f>
        <v>0</v>
      </c>
      <c r="AD12" s="111"/>
      <c r="AE12" s="301"/>
      <c r="AF12" s="301"/>
      <c r="AG12" s="301"/>
      <c r="AH12" s="302"/>
      <c r="AI12" s="111"/>
      <c r="AJ12" s="301"/>
      <c r="AK12" s="301"/>
      <c r="AL12" s="301"/>
      <c r="AM12" s="302"/>
      <c r="AN12" s="111"/>
      <c r="AO12" s="112"/>
      <c r="AP12" s="112"/>
      <c r="AQ12" s="112"/>
      <c r="AR12" s="112"/>
      <c r="AS12" s="111">
        <f>'Pt 2 Premium and Claims'!AS$54</f>
        <v>13038491</v>
      </c>
      <c r="AT12" s="113">
        <f>'Pt 2 Premium and Claims'!AT$54</f>
        <v>2128025</v>
      </c>
      <c r="AU12" s="113">
        <f>'Pt 2 Premium and Claims'!AU$54</f>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v>12778131</v>
      </c>
      <c r="AT13" s="119">
        <v>107</v>
      </c>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v>4024200</v>
      </c>
      <c r="AT14" s="119">
        <v>101</v>
      </c>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v>523</v>
      </c>
      <c r="AT15" s="119">
        <v>126</v>
      </c>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v>18327</v>
      </c>
      <c r="AT16" s="119">
        <v>29336</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f>'Pt 2 Premium and Claims'!D$55</f>
        <v>0</v>
      </c>
      <c r="E22" s="121">
        <f>'Pt 2 Premium and Claims'!E$55</f>
        <v>0</v>
      </c>
      <c r="F22" s="121">
        <f>'Pt 2 Premium and Claims'!F$55</f>
        <v>0</v>
      </c>
      <c r="G22" s="121">
        <f>'Pt 2 Premium and Claims'!G$55</f>
        <v>0</v>
      </c>
      <c r="H22" s="121">
        <f>'Pt 2 Premium and Claims'!H$55</f>
        <v>0</v>
      </c>
      <c r="I22" s="120">
        <f>'Pt 2 Premium and Claims'!I$55</f>
        <v>0</v>
      </c>
      <c r="J22" s="120">
        <f>'Pt 2 Premium and Claims'!J$55</f>
        <v>0</v>
      </c>
      <c r="K22" s="121">
        <f>'Pt 2 Premium and Claims'!K$55</f>
        <v>0</v>
      </c>
      <c r="L22" s="121">
        <f>'Pt 2 Premium and Claims'!L$55</f>
        <v>0</v>
      </c>
      <c r="M22" s="121">
        <f>'Pt 2 Premium and Claims'!M$55</f>
        <v>0</v>
      </c>
      <c r="N22" s="121">
        <f>'Pt 2 Premium and Claims'!N$55</f>
        <v>0</v>
      </c>
      <c r="O22" s="120">
        <f>'Pt 2 Premium and Claims'!O$55</f>
        <v>0</v>
      </c>
      <c r="P22" s="120">
        <f>'Pt 2 Premium and Claims'!P$55</f>
        <v>0</v>
      </c>
      <c r="Q22" s="121">
        <f>'Pt 2 Premium and Claims'!Q$55</f>
        <v>0</v>
      </c>
      <c r="R22" s="121">
        <f>'Pt 2 Premium and Claims'!R$55</f>
        <v>0</v>
      </c>
      <c r="S22" s="121">
        <f>'Pt 2 Premium and Claims'!S$55</f>
        <v>0</v>
      </c>
      <c r="T22" s="121">
        <f>'Pt 2 Premium and Claims'!T$55</f>
        <v>0</v>
      </c>
      <c r="U22" s="120">
        <f>'Pt 2 Premium and Claims'!U$55</f>
        <v>0</v>
      </c>
      <c r="V22" s="121">
        <f>'Pt 2 Premium and Claims'!V$55</f>
        <v>0</v>
      </c>
      <c r="W22" s="121">
        <f>'Pt 2 Premium and Claims'!W$55</f>
        <v>0</v>
      </c>
      <c r="X22" s="120">
        <f>'Pt 2 Premium and Claims'!X$55</f>
        <v>0</v>
      </c>
      <c r="Y22" s="121">
        <f>'Pt 2 Premium and Claims'!Y$55</f>
        <v>0</v>
      </c>
      <c r="Z22" s="121">
        <f>'Pt 2 Premium and Claims'!Z$55</f>
        <v>0</v>
      </c>
      <c r="AA22" s="120">
        <f>'Pt 2 Premium and Claims'!AA$55</f>
        <v>0</v>
      </c>
      <c r="AB22" s="121">
        <f>'Pt 2 Premium and Claims'!AB$55</f>
        <v>0</v>
      </c>
      <c r="AC22" s="121">
        <f>'Pt 2 Premium and Claims'!AC$55</f>
        <v>0</v>
      </c>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v>137447.8823</v>
      </c>
      <c r="AT25" s="119">
        <v>76521.633270000006</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v>198598.5</v>
      </c>
      <c r="AT27" s="119">
        <v>7136.9500000000007</v>
      </c>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v>1214.01</v>
      </c>
      <c r="AT28" s="119">
        <v>325.33000000000004</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v>13047.144834000004</v>
      </c>
      <c r="AT30" s="119">
        <v>6259.2889790000008</v>
      </c>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67462.319999999992</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v>11093.75</v>
      </c>
      <c r="AT35" s="119">
        <v>2988.97</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v>65710</v>
      </c>
      <c r="AT37" s="125">
        <v>-1</v>
      </c>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v>16157</v>
      </c>
      <c r="AT38" s="119">
        <v>-2</v>
      </c>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v>43280</v>
      </c>
      <c r="AT39" s="119">
        <v>1581</v>
      </c>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v>30931</v>
      </c>
      <c r="AT40" s="119">
        <v>6510</v>
      </c>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v>100324</v>
      </c>
      <c r="AT41" s="119">
        <v>6003</v>
      </c>
      <c r="AU41" s="119"/>
      <c r="AV41" s="119"/>
      <c r="AW41" s="324"/>
    </row>
    <row r="42" spans="1:49" s="11" customFormat="1" ht="24.95" customHeight="1" x14ac:dyDescent="0.2">
      <c r="A42" s="41"/>
      <c r="B42" s="161" t="s">
        <v>259</v>
      </c>
      <c r="C42" s="68" t="s">
        <v>87</v>
      </c>
      <c r="D42" s="115"/>
      <c r="E42" s="116"/>
      <c r="F42" s="116"/>
      <c r="G42" s="116"/>
      <c r="H42" s="116"/>
      <c r="I42" s="115">
        <v>0</v>
      </c>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v>247006</v>
      </c>
      <c r="AT44" s="125">
        <v>6685</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v>240482</v>
      </c>
      <c r="AT45" s="119">
        <v>55422</v>
      </c>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v>201003</v>
      </c>
      <c r="AT46" s="119">
        <v>18269</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v>188123</v>
      </c>
      <c r="AT47" s="119">
        <v>461759</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v>62624.545165999996</v>
      </c>
      <c r="AT49" s="119">
        <v>16316.581021000005</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v>623.34</v>
      </c>
      <c r="AT50" s="119">
        <v>156.34</v>
      </c>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v>1186889</v>
      </c>
      <c r="AT51" s="119">
        <v>324424</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v>14056</v>
      </c>
      <c r="AT56" s="129">
        <v>4047</v>
      </c>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v>14056</v>
      </c>
      <c r="AT57" s="132">
        <v>6231</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v>1</v>
      </c>
      <c r="AT58" s="132">
        <v>12</v>
      </c>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v>162697</v>
      </c>
      <c r="AT59" s="132">
        <v>50775</v>
      </c>
      <c r="AU59" s="132"/>
      <c r="AV59" s="132"/>
      <c r="AW59" s="316"/>
    </row>
    <row r="60" spans="2:49" x14ac:dyDescent="0.2">
      <c r="B60" s="167" t="s">
        <v>276</v>
      </c>
      <c r="C60" s="68"/>
      <c r="D60" s="133">
        <f>D$59/12</f>
        <v>0</v>
      </c>
      <c r="E60" s="134">
        <f>E$59/12</f>
        <v>0</v>
      </c>
      <c r="F60" s="134">
        <f>F$59/12</f>
        <v>0</v>
      </c>
      <c r="G60" s="134">
        <f>G$59/12</f>
        <v>0</v>
      </c>
      <c r="H60" s="134">
        <f>H$59/12</f>
        <v>0</v>
      </c>
      <c r="I60" s="133">
        <f>I$59/12</f>
        <v>0</v>
      </c>
      <c r="J60" s="133">
        <f>J$59/12</f>
        <v>0</v>
      </c>
      <c r="K60" s="134">
        <f>K$59/12</f>
        <v>0</v>
      </c>
      <c r="L60" s="134">
        <f>L$59/12</f>
        <v>0</v>
      </c>
      <c r="M60" s="134">
        <f>M$59/12</f>
        <v>0</v>
      </c>
      <c r="N60" s="134">
        <f>N$59/12</f>
        <v>0</v>
      </c>
      <c r="O60" s="133">
        <f>O$59/12</f>
        <v>0</v>
      </c>
      <c r="P60" s="133">
        <f>P$59/12</f>
        <v>0</v>
      </c>
      <c r="Q60" s="134">
        <f>Q$59/12</f>
        <v>0</v>
      </c>
      <c r="R60" s="134">
        <f>R$59/12</f>
        <v>0</v>
      </c>
      <c r="S60" s="134">
        <f>S$59/12</f>
        <v>0</v>
      </c>
      <c r="T60" s="134">
        <f>T$59/12</f>
        <v>0</v>
      </c>
      <c r="U60" s="133">
        <f>U$59/12</f>
        <v>0</v>
      </c>
      <c r="V60" s="134">
        <f>V$59/12</f>
        <v>0</v>
      </c>
      <c r="W60" s="134">
        <f>W$59/12</f>
        <v>0</v>
      </c>
      <c r="X60" s="133">
        <f>X$59/12</f>
        <v>0</v>
      </c>
      <c r="Y60" s="134">
        <f>Y$59/12</f>
        <v>0</v>
      </c>
      <c r="Z60" s="134">
        <f>Z$59/12</f>
        <v>0</v>
      </c>
      <c r="AA60" s="133">
        <f>AA$59/12</f>
        <v>0</v>
      </c>
      <c r="AB60" s="134">
        <f>AB$59/12</f>
        <v>0</v>
      </c>
      <c r="AC60" s="134">
        <f>AC$59/12</f>
        <v>0</v>
      </c>
      <c r="AD60" s="133"/>
      <c r="AE60" s="310"/>
      <c r="AF60" s="310"/>
      <c r="AG60" s="310"/>
      <c r="AH60" s="311"/>
      <c r="AI60" s="133"/>
      <c r="AJ60" s="310"/>
      <c r="AK60" s="310"/>
      <c r="AL60" s="310"/>
      <c r="AM60" s="311"/>
      <c r="AN60" s="133"/>
      <c r="AO60" s="134"/>
      <c r="AP60" s="134"/>
      <c r="AQ60" s="134"/>
      <c r="AR60" s="134"/>
      <c r="AS60" s="133">
        <f>AS$59/12</f>
        <v>13558.083333333334</v>
      </c>
      <c r="AT60" s="135">
        <f>AT$59/12</f>
        <v>4231.25</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v>15799835</v>
      </c>
      <c r="AT5" s="125">
        <v>3371831</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3325</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17044</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v>-165273</v>
      </c>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v>144609</v>
      </c>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v>13698</v>
      </c>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v>4728</v>
      </c>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v>12930683</v>
      </c>
      <c r="AT23" s="119">
        <v>2052902.9999999998</v>
      </c>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v>740504</v>
      </c>
      <c r="AT26" s="119">
        <v>325071</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v>120785</v>
      </c>
      <c r="AT28" s="119">
        <v>249976</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v>120416</v>
      </c>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v>-165273</v>
      </c>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v>144609</v>
      </c>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v>961139</v>
      </c>
      <c r="AT49" s="119">
        <v>1</v>
      </c>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v>638694</v>
      </c>
      <c r="AT50" s="119">
        <v>28</v>
      </c>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f>D23+D26-D28+D30-D32+D34-D36+D38+D41-D43+D45+D46-D47-D49+D50+D51+D52+D53</f>
        <v>0</v>
      </c>
      <c r="E54" s="121">
        <f>E24+E27+E31+E35-E36+E39+E42+E45+E46-E49+E51+E52+E53</f>
        <v>0</v>
      </c>
      <c r="F54" s="121">
        <f>F24+F27+F31+F35-F36+F39+F42+F45+F46-F49+F51+F52+F53</f>
        <v>0</v>
      </c>
      <c r="G54" s="121">
        <f>G24+G27+G31+G35-G36+G39+G42+G45+G46-G49+G51+G52+G53</f>
        <v>0</v>
      </c>
      <c r="H54" s="121">
        <f>H24+H27+H31+H35-H36+H39+H42+H45+H46-H49+H51+H52+H53</f>
        <v>0</v>
      </c>
      <c r="I54" s="120">
        <f>I24+I27+I31+I35-I36+I39+I42+I45+I46-I49+I51+I52+I53</f>
        <v>0</v>
      </c>
      <c r="J54" s="120">
        <f>J23+J26-J28+J30-J32+J34-J36+J38+J41-J43+J45+J46-J47-J49+J50+J51+J52+J53</f>
        <v>0</v>
      </c>
      <c r="K54" s="121">
        <f>K24+K27+K31+K35-K36+K39+K42+K45+K46-K49+K51+K52+K53</f>
        <v>0</v>
      </c>
      <c r="L54" s="121">
        <f>L24+L27+L31+L35-L36+L39+L42+L45+L46-L49+L51+L52+L53</f>
        <v>0</v>
      </c>
      <c r="M54" s="121">
        <f>M24+M27+M31+M35-M36+M39+M42+M45+M46-M49+M51+M52+M53</f>
        <v>0</v>
      </c>
      <c r="N54" s="121">
        <f>N24+N27+N31+N35-N36+N39+N42+N45+N46-N49+N51+N52+N53</f>
        <v>0</v>
      </c>
      <c r="O54" s="120">
        <f>O24+O27+O31+O35-O36+O39+O42+O45+O46-O49+O51+O52+O53</f>
        <v>0</v>
      </c>
      <c r="P54" s="120">
        <f>P23+P26-P28+P30-P32+P34-P36+P38+P41-P43+P45+P46-P47-P49+P50+P51+P52+P53</f>
        <v>0</v>
      </c>
      <c r="Q54" s="121">
        <f>Q24+Q27+Q31+Q35-Q36+Q39+Q42+Q45+Q46-Q49+Q51+Q52+Q53</f>
        <v>0</v>
      </c>
      <c r="R54" s="121">
        <f>R24+R27+R31+R35-R36+R39+R42+R45+R46-R49+R51+R52+R53</f>
        <v>0</v>
      </c>
      <c r="S54" s="121">
        <f>S24+S27+S31+S35-S36+S39+S42+S45+S46-S49+S51+S52+S53</f>
        <v>0</v>
      </c>
      <c r="T54" s="121">
        <f>T24+T27+T31+T35-T36+T39+T42+T45+T46-T49+T51+T52+T53</f>
        <v>0</v>
      </c>
      <c r="U54" s="120">
        <f>U23+U26-U28+U30-U32+U34-U36+U38+U41-U43+U45+U46-U47-U49+U50+U51+U52+U53</f>
        <v>0</v>
      </c>
      <c r="V54" s="121">
        <f>V24+V27+V31+V35-V36+V39+V42+V45+V46-V49+V51+V52+V53</f>
        <v>0</v>
      </c>
      <c r="W54" s="121">
        <f>W24+W27+W31+W35-W36+W39+W42+W45+W46-W49+W51+W52+W53</f>
        <v>0</v>
      </c>
      <c r="X54" s="120">
        <f>X23+X26-X28+X30-X32+X34-X36+X38+X41-X43+X45+X46-X47-X49+X50+X51+X52+X53</f>
        <v>0</v>
      </c>
      <c r="Y54" s="121">
        <f>Y24+Y27+Y31+Y35-Y36+Y39+Y42+Y45+Y46-Y49+Y51+Y52+Y53</f>
        <v>0</v>
      </c>
      <c r="Z54" s="121">
        <f>Z24+Z27+Z31+Z35-Z36+Z39+Z42+Z45+Z46-Z49+Z51+Z52+Z53</f>
        <v>0</v>
      </c>
      <c r="AA54" s="120">
        <f>AA23+AA26-AA28+AA30-AA32+AA34-AA36+AA38+AA41-AA43+AA45+AA46-AA47-AA49+AA50+AA51+AA52+AA53</f>
        <v>0</v>
      </c>
      <c r="AB54" s="121">
        <f>AB24+AB27+AB31+AB35-AB36+AB39+AB42+AB45+AB46-AB49+AB51+AB52+AB53</f>
        <v>0</v>
      </c>
      <c r="AC54" s="121">
        <f>AC24+AC27+AC31+AC35-AC36+AC39+AC42+AC45+AC46-AC49+AC51+AC52+AC53</f>
        <v>0</v>
      </c>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13038491</v>
      </c>
      <c r="AT54" s="122">
        <f>AT23+AT26-AT28+AT30-AT32+AT34-AT36+AT38+AT41-AT43+AT45+AT46-AT47-AT49+AT50+AT51+AT52+AT53</f>
        <v>2128025</v>
      </c>
      <c r="AU54" s="122">
        <f>AU23+AU26-AU28+AU30-AU32+AU34-AU36+AU38+AU41-AU43+AU45+AU46-AU47-AU49+AU50+AU51+AU52+AU53</f>
        <v>0</v>
      </c>
      <c r="AV54" s="317"/>
      <c r="AW54" s="324"/>
    </row>
    <row r="55" spans="2:49" ht="25.5" x14ac:dyDescent="0.2">
      <c r="B55" s="187" t="s">
        <v>304</v>
      </c>
      <c r="C55" s="143" t="s">
        <v>28</v>
      </c>
      <c r="D55" s="120">
        <f>MIN(MAX(0,D56),MAX(0,D57))</f>
        <v>0</v>
      </c>
      <c r="E55" s="121">
        <f>MIN(MAX(0,E56),MAX(0,E57))</f>
        <v>0</v>
      </c>
      <c r="F55" s="121">
        <f>MIN(MAX(0,F56),MAX(0,F57))</f>
        <v>0</v>
      </c>
      <c r="G55" s="121">
        <f>MIN(MAX(0,G56),MAX(0,G57))</f>
        <v>0</v>
      </c>
      <c r="H55" s="121">
        <f>MIN(MAX(0,H56),MAX(0,H57))</f>
        <v>0</v>
      </c>
      <c r="I55" s="120">
        <f>MIN(MAX(0,I56),MAX(0,I57))</f>
        <v>0</v>
      </c>
      <c r="J55" s="120">
        <f>MIN(MAX(0,J56),MAX(0,J57))</f>
        <v>0</v>
      </c>
      <c r="K55" s="121">
        <f>MIN(MAX(0,K56),MAX(0,K57))</f>
        <v>0</v>
      </c>
      <c r="L55" s="121">
        <f>MIN(MAX(0,L56),MAX(0,L57))</f>
        <v>0</v>
      </c>
      <c r="M55" s="121">
        <f>MIN(MAX(0,M56),MAX(0,M57))</f>
        <v>0</v>
      </c>
      <c r="N55" s="121">
        <f>MIN(MAX(0,N56),MAX(0,N57))</f>
        <v>0</v>
      </c>
      <c r="O55" s="120">
        <f>MIN(MAX(0,O56),MAX(0,O57))</f>
        <v>0</v>
      </c>
      <c r="P55" s="120">
        <f>MIN(MAX(0,P56),MAX(0,P57))</f>
        <v>0</v>
      </c>
      <c r="Q55" s="121">
        <f>MIN(MAX(0,Q56),MAX(0,Q57))</f>
        <v>0</v>
      </c>
      <c r="R55" s="121">
        <f>MIN(MAX(0,R56),MAX(0,R57))</f>
        <v>0</v>
      </c>
      <c r="S55" s="121">
        <f>MIN(MAX(0,S56),MAX(0,S57))</f>
        <v>0</v>
      </c>
      <c r="T55" s="121">
        <f>MIN(MAX(0,T56),MAX(0,T57))</f>
        <v>0</v>
      </c>
      <c r="U55" s="120">
        <f>MIN(MAX(0,U56),MAX(0,U57))</f>
        <v>0</v>
      </c>
      <c r="V55" s="121">
        <f>MIN(MAX(0,V56),MAX(0,V57))</f>
        <v>0</v>
      </c>
      <c r="W55" s="121">
        <f>MIN(MAX(0,W56),MAX(0,W57))</f>
        <v>0</v>
      </c>
      <c r="X55" s="120">
        <f>MIN(MAX(0,X56),MAX(0,X57))</f>
        <v>0</v>
      </c>
      <c r="Y55" s="121">
        <f>MIN(MAX(0,Y56),MAX(0,Y57))</f>
        <v>0</v>
      </c>
      <c r="Z55" s="121">
        <f>MIN(MAX(0,Z56),MAX(0,Z57))</f>
        <v>0</v>
      </c>
      <c r="AA55" s="120">
        <f>MIN(MAX(0,AA56),MAX(0,AA57))</f>
        <v>0</v>
      </c>
      <c r="AB55" s="121">
        <f>MIN(MAX(0,AB56),MAX(0,AB57))</f>
        <v>0</v>
      </c>
      <c r="AC55" s="121">
        <f>MIN(MAX(0,AC56),MAX(0,AC57))</f>
        <v>0</v>
      </c>
      <c r="AD55" s="120"/>
      <c r="AE55" s="294"/>
      <c r="AF55" s="294"/>
      <c r="AG55" s="294"/>
      <c r="AH55" s="294"/>
      <c r="AI55" s="120"/>
      <c r="AJ55" s="294"/>
      <c r="AK55" s="294"/>
      <c r="AL55" s="294"/>
      <c r="AM55" s="294"/>
      <c r="AN55" s="120"/>
      <c r="AO55" s="121"/>
      <c r="AP55" s="121"/>
      <c r="AQ55" s="121"/>
      <c r="AR55" s="121"/>
      <c r="AS55" s="120">
        <f>MIN(MAX(0,AS56),MAX(0,AS57))</f>
        <v>0</v>
      </c>
      <c r="AT55" s="122">
        <f>MIN(MAX(0,AT56),MAX(0,AT57))</f>
        <v>0</v>
      </c>
      <c r="AU55" s="122">
        <f>MIN(MAX(0,AU56),MAX(0,AU57))</f>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v>7683</v>
      </c>
      <c r="AT57" s="119">
        <v>130</v>
      </c>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f>SUM('Pt 1 Summary of Data'!E$12,'Pt 1 Summary of Data'!E$22)+SUM('Pt 1 Summary of Data'!G$12,'Pt 1 Summary of Data'!G$22)-SUM('Pt 1 Summary of Data'!H$12,'Pt 1 Summary of Data'!H$22)</f>
        <v>0</v>
      </c>
      <c r="F6" s="121">
        <f>SUM(C6:E6)</f>
        <v>0</v>
      </c>
      <c r="G6" s="122">
        <f>SUM('Pt 1 Summary of Data'!I$12,'Pt 1 Summary of Data'!I$22)</f>
        <v>0</v>
      </c>
      <c r="H6" s="115"/>
      <c r="I6" s="116"/>
      <c r="J6" s="121">
        <f>SUM('Pt 1 Summary of Data'!K$12,'Pt 1 Summary of Data'!K$22)+SUM('Pt 1 Summary of Data'!M$12,'Pt 1 Summary of Data'!M$22)-SUM('Pt 1 Summary of Data'!N$12,'Pt 1 Summary of Data'!N$22)</f>
        <v>0</v>
      </c>
      <c r="K6" s="121">
        <f>SUM(H6:J6)</f>
        <v>0</v>
      </c>
      <c r="L6" s="122">
        <f>SUM('Pt 1 Summary of Data'!O$12,'Pt 1 Summary of Data'!O$22)</f>
        <v>0</v>
      </c>
      <c r="M6" s="115"/>
      <c r="N6" s="116"/>
      <c r="O6" s="121">
        <f>SUM('Pt 1 Summary of Data'!Q$12,'Pt 1 Summary of Data'!Q$22)+SUM('Pt 1 Summary of Data'!S$12,'Pt 1 Summary of Data'!S$22)-SUM('Pt 1 Summary of Data'!T$12,'Pt 1 Summary of Data'!T$22)</f>
        <v>0</v>
      </c>
      <c r="P6" s="121">
        <f>SUM(M6:O6)</f>
        <v>0</v>
      </c>
      <c r="Q6" s="115"/>
      <c r="R6" s="116"/>
      <c r="S6" s="121">
        <f>SUM('Pt 1 Summary of Data'!V$12,'Pt 1 Summary of Data'!V$22)</f>
        <v>0</v>
      </c>
      <c r="T6" s="121">
        <f>SUM(Q6:S6)</f>
        <v>0</v>
      </c>
      <c r="U6" s="115"/>
      <c r="V6" s="116"/>
      <c r="W6" s="121">
        <f>SUM('Pt 1 Summary of Data'!Y$12,'Pt 1 Summary of Data'!Y$22)</f>
        <v>0</v>
      </c>
      <c r="X6" s="121">
        <f>SUM(U6:W6)</f>
        <v>0</v>
      </c>
      <c r="Y6" s="115"/>
      <c r="Z6" s="116"/>
      <c r="AA6" s="121">
        <f>SUM('Pt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c r="D7" s="116"/>
      <c r="E7" s="121">
        <f>SUM('Pt 1 Summary of Data'!E$37:E$41)+SUM('Pt 1 Summary of Data'!G$37:G$41)-SUM('Pt 1 Summary of Data'!H$37:H$41)+MAX(0,MIN('Pt 1 Summary of Data'!E$42+'Pt 1 Summary of Data'!G$42-'Pt 1 Summary of Data'!H$42,0.3%*('Pt 1 Summary of Data'!E$5+'Pt 1 Summary of Data'!G$5-'Pt 1 Summary of Data'!H$5-SUM(E$9:E$11))))</f>
        <v>0</v>
      </c>
      <c r="F7" s="121">
        <f>SUM(C7:E7)</f>
        <v>0</v>
      </c>
      <c r="G7" s="122">
        <f>SUM('Pt 1 Summary of Data'!I$37:I$41)+MAX(0,MIN('Pt 1 Summary of Data'!I$42,0.3%*('Pt 1 Summary of Data'!I$5-SUM(G$9:G$10))))</f>
        <v>0</v>
      </c>
      <c r="H7" s="115"/>
      <c r="I7" s="116"/>
      <c r="J7" s="121">
        <f>SUM('Pt 1 Summary of Data'!K$37:K$41)+SUM('Pt 1 Summary of Data'!M$37:M$41)-SUM('Pt 1 Summary of Data'!N$37:N$41)+MAX(0,MIN('Pt 1 Summary of Data'!K$42+'Pt 1 Summary of Data'!M$42-'Pt 1 Summary of Data'!N$42,0.3%*('Pt 1 Summary of Data'!K$5+'Pt 1 Summary of Data'!M$5-'Pt 1 Summary of Data'!N$5-SUM(J$10:J$11))))</f>
        <v>0</v>
      </c>
      <c r="K7" s="121">
        <f>SUM(H7:J7)</f>
        <v>0</v>
      </c>
      <c r="L7" s="122">
        <f>SUM('Pt 1 Summary of Data'!O$37:O$41)+MAX(0,MIN('Pt 1 Summary of Data'!O$42,0.3%*('Pt 1 Summary of Data'!O$5-L$10)))</f>
        <v>0</v>
      </c>
      <c r="M7" s="115"/>
      <c r="N7" s="116"/>
      <c r="O7" s="121">
        <f>SUM('Pt 1 Summary of Data'!Q$37:Q$41)+SUM('Pt 1 Summary of Data'!S$37:S$41)-SUM('Pt 1 Summary of Data'!T$37:T$41)+MAX(0,MIN('Pt 1 Summary of Data'!Q$42+'Pt 1 Summary of Data'!S$42-'Pt 1 Summary of Data'!T$42,0.3%*('Pt 1 Summary of Data'!Q$5+'Pt 1 Summary of Data'!S$5-'Pt 1 Summary of Data'!T$5)))</f>
        <v>0</v>
      </c>
      <c r="P7" s="121">
        <f>SUM(M7:O7)</f>
        <v>0</v>
      </c>
      <c r="Q7" s="115"/>
      <c r="R7" s="116"/>
      <c r="S7" s="121">
        <f>SUM('Pt 1 Summary of Data'!V$37:V$41)+MAX(0,MIN('Pt 1 Summary of Data'!V$42,0.3%*'Pt 1 Summary of Data'!V$5))</f>
        <v>0</v>
      </c>
      <c r="T7" s="121">
        <f>SUM(Q7:S7)</f>
        <v>0</v>
      </c>
      <c r="U7" s="115"/>
      <c r="V7" s="116"/>
      <c r="W7" s="121">
        <f>SUM('Pt 1 Summary of Data'!Y$37:Y$41)+MAX(0,MIN('Pt 1 Summary of Data'!Y$42,0.3%*'Pt 1 Summary of Data'!Y$5))</f>
        <v>0</v>
      </c>
      <c r="X7" s="121">
        <f>SUM(U7:W7)</f>
        <v>0</v>
      </c>
      <c r="Y7" s="115"/>
      <c r="Z7" s="116"/>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c r="F8" s="275">
        <f>SUM(C8:E8)</f>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SUM(C9:E9)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SUM(C10:E10)</f>
        <v>0</v>
      </c>
      <c r="G10" s="122">
        <f>'Pt 2 Premium and Claims'!I$16</f>
        <v>0</v>
      </c>
      <c r="H10" s="298"/>
      <c r="I10" s="294"/>
      <c r="J10" s="121">
        <f>'Pt 2 Premium and Claims'!K$16+'Pt 2 Premium and Claims'!M$16-'Pt 2 Premium and Claims'!N$16</f>
        <v>0</v>
      </c>
      <c r="K10" s="121">
        <f>SUM(H10:J10)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SUM(C11:E11)</f>
        <v>0</v>
      </c>
      <c r="G11" s="320"/>
      <c r="H11" s="298"/>
      <c r="I11" s="294"/>
      <c r="J11" s="121">
        <f>'Pt 2 Premium and Claims'!K$17+'Pt 2 Premium and Claims'!M$17-'Pt 2 Premium and Claims'!N$17</f>
        <v>0</v>
      </c>
      <c r="K11" s="121">
        <f>SUM(H11:J11)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0</v>
      </c>
      <c r="D12" s="121">
        <f>SUM(D$6:D$7)+IF(AND(OR('Company Information'!$C$12="District of Columbia",'Company Information'!$C$12="Massachusetts",'Company Information'!$C$12="Vermont"),SUM($C$6:$F$11,$C$15:$F$16,$C$37:$D$37)&lt;&gt;0),SUM(I$6:I$7),0)</f>
        <v>0</v>
      </c>
      <c r="E12" s="121">
        <f>SUM(E$6:E$7)-SUM(E$8:E$11)+IF(AND(OR('Company Information'!$C$12="District of Columbia",'Company Information'!$C$12="Massachusetts",'Company Information'!$C$12="Vermont"),SUM($C$6:$F$11,$C$15:$F$16,$C$37:$D$37)&lt;&gt;0),SUM(J$6:J$7)-SUM(J$10:J$11),0)</f>
        <v>0</v>
      </c>
      <c r="F12" s="121">
        <f>IFERROR(SUM(C$12:E$12)+C$17*MAX(0,E$49-C$49)+D$17*MAX(0,E$49-D$49),0)</f>
        <v>0</v>
      </c>
      <c r="G12" s="317"/>
      <c r="H12" s="120">
        <f>SUM(H$6:H$7)+IF(AND(OR('Company Information'!$C$12="District of Columbia",'Company Information'!$C$12="Massachusetts",'Company Information'!$C$12="Vermont"),SUM($H$6:$K$11,$H$15:$K$16,$H$37:$I$37)&lt;&gt;0),SUM(C$6:C$7),0)</f>
        <v>0</v>
      </c>
      <c r="I12" s="121">
        <f>SUM(I$6:I$7)+IF(AND(OR('Company Information'!$C$12="District of Columbia",'Company Information'!$C$12="Massachusetts",'Company Information'!$C$12="Vermont"),SUM($H$6:$K$11,$H$15:$K$16,$H$37:$I$37)&lt;&gt;0),SUM(D$6:D$7),0)</f>
        <v>0</v>
      </c>
      <c r="J12" s="121">
        <f>SUM(J$6:J$7)-SUM(J$10:J$11)+IF(AND(OR('Company Information'!$C$12="District of Columbia",'Company Information'!$C$12="Massachusetts",'Company Information'!$C$12="Vermont"),SUM($H$6:$K$11,$H$15:$K$16,$H$37:$I$37)&lt;&gt;0),SUM(E$6:E$7)-SUM(E$8:E$11),0)</f>
        <v>0</v>
      </c>
      <c r="K12" s="121">
        <f>IFERROR(SUM(H$12:J$12)+H$17*MAX(0,J$49-H$49)+I$17*MAX(0,J$49-I$49),0)</f>
        <v>0</v>
      </c>
      <c r="L12" s="317"/>
      <c r="M12" s="120">
        <f>SUM(M$6:M$7)</f>
        <v>0</v>
      </c>
      <c r="N12" s="121">
        <f>SUM(N$6:N$7)</f>
        <v>0</v>
      </c>
      <c r="O12" s="121">
        <f>SUM(O$6:O$7)</f>
        <v>0</v>
      </c>
      <c r="P12" s="121">
        <f>SUM(M$12:O$12)+M$17*MAX(0,O$49-M$49)+N$17*MAX(0,O$49-N$49)</f>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f>SUM('Pt 1 Summary of Data'!E$5:E$7)+SUM('Pt 1 Summary of Data'!G$5:G$7)-SUM('Pt 1 Summary of Data'!H$5:H$7)-SUM(E$9:E$11)+D$55</f>
        <v>0</v>
      </c>
      <c r="F15" s="112">
        <f>SUM(C15:E15)</f>
        <v>0</v>
      </c>
      <c r="G15" s="113">
        <f>SUM('Pt 1 Summary of Data'!I$5:I$7)-SUM(G$9:G$10)</f>
        <v>0</v>
      </c>
      <c r="H15" s="123"/>
      <c r="I15" s="124"/>
      <c r="J15" s="112">
        <f>SUM('Pt 1 Summary of Data'!K$5:K$7)+SUM('Pt 1 Summary of Data'!M$5:M$7)-SUM('Pt 1 Summary of Data'!N$5:N$7)-SUM(J$10:J$11)+I$55</f>
        <v>0</v>
      </c>
      <c r="K15" s="112">
        <f>SUM(H15:J15)</f>
        <v>0</v>
      </c>
      <c r="L15" s="113">
        <f>SUM('Pt 1 Summary of Data'!O$5:O$7)-L$10</f>
        <v>0</v>
      </c>
      <c r="M15" s="123"/>
      <c r="N15" s="124"/>
      <c r="O15" s="112">
        <f>SUM('Pt 1 Summary of Data'!Q$5:Q$7)+SUM('Pt 1 Summary of Data'!S$5:S$7)-SUM('Pt 1 Summary of Data'!T$5:T$7)+N$55</f>
        <v>0</v>
      </c>
      <c r="P15" s="112">
        <f>SUM(M15:O15)</f>
        <v>0</v>
      </c>
      <c r="Q15" s="123"/>
      <c r="R15" s="124"/>
      <c r="S15" s="112">
        <f>SUM('Pt 1 Summary of Data'!V$5:V$7)+R$55</f>
        <v>0</v>
      </c>
      <c r="T15" s="112">
        <f>SUM(Q15:S15)</f>
        <v>0</v>
      </c>
      <c r="U15" s="123"/>
      <c r="V15" s="124"/>
      <c r="W15" s="112">
        <f>SUM('Pt 1 Summary of Data'!Y$5:Y$7)+V$55</f>
        <v>0</v>
      </c>
      <c r="X15" s="112">
        <f>SUM(U15:W15)</f>
        <v>0</v>
      </c>
      <c r="Y15" s="123"/>
      <c r="Z15" s="124"/>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c r="D16" s="116"/>
      <c r="E16" s="121">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0</v>
      </c>
      <c r="F16" s="121">
        <f>SUM(C16:E16)</f>
        <v>0</v>
      </c>
      <c r="G16" s="122">
        <f>SUM('Pt 1 Summary of Data'!I$25:I$28,'Pt 1 Summary of Data'!I$30,'Pt 1 Summary of Data'!I$34:I$35)+IF('Company Information'!$C$15="No",IF(MAX('Pt 1 Summary of Data'!I$31:I$32)=0,MIN('Pt 1 Summary of Data'!I$31:I$32),MAX('Pt 1 Summary of Data'!I$31:I$32)),SUM('Pt 1 Summary of Data'!I$31:I$32))</f>
        <v>0</v>
      </c>
      <c r="H16" s="115"/>
      <c r="I16" s="116"/>
      <c r="J16" s="121">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0</v>
      </c>
      <c r="K16" s="121">
        <f>SUM(H16:J16)</f>
        <v>0</v>
      </c>
      <c r="L16" s="122">
        <f>SUM('Pt 1 Summary of Data'!O$25:O$28,'Pt 1 Summary of Data'!O$30,'Pt 1 Summary of Data'!O$34:O$35)+IF('Company Information'!$C$15="No",IF(MAX('Pt 1 Summary of Data'!O$31:O$32)=0,MIN('Pt 1 Summary of Data'!O$31:O$32),MAX('Pt 1 Summary of Data'!O$31:O$32)),SUM('Pt 1 Summary of Data'!O$31:O$32))</f>
        <v>0</v>
      </c>
      <c r="M16" s="115"/>
      <c r="N16" s="116"/>
      <c r="O16" s="121">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0</v>
      </c>
      <c r="P16" s="121">
        <f>SUM(M16:O16)</f>
        <v>0</v>
      </c>
      <c r="Q16" s="115"/>
      <c r="R16" s="116"/>
      <c r="S16" s="121">
        <f>SUM('Pt 1 Summary of Data'!V$25:V$28,'Pt 1 Summary of Data'!V$30,'Pt 1 Summary of Data'!V$34:V$35)+IF('Company Information'!$C$15="No",IF(MAX('Pt 1 Summary of Data'!V$31:V$32)=0,MIN('Pt 1 Summary of Data'!V$31:V$32),MAX('Pt 1 Summary of Data'!V$31:V$32)),SUM('Pt 1 Summary of Data'!V$31:V$32))+R$56</f>
        <v>0</v>
      </c>
      <c r="T16" s="121">
        <f>SUM(Q16:S16)</f>
        <v>0</v>
      </c>
      <c r="U16" s="115"/>
      <c r="V16" s="116"/>
      <c r="W16" s="121">
        <f>SUM('Pt 1 Summary of Data'!Y$25:Y$28,'Pt 1 Summary of Data'!Y$30,'Pt 1 Summary of Data'!Y$34:Y$35)+IF('Company Information'!$C$15="No",IF(MAX('Pt 1 Summary of Data'!Y$31:Y$32)=0,MIN('Pt 1 Summary of Data'!Y$31:Y$32),MAX('Pt 1 Summary of Data'!Y$31:Y$32)),SUM('Pt 1 Summary of Data'!Y$31:Y$32))+V$56</f>
        <v>0</v>
      </c>
      <c r="X16" s="121">
        <f>SUM(U16:W16)</f>
        <v>0</v>
      </c>
      <c r="Y16" s="115"/>
      <c r="Z16" s="116"/>
      <c r="AA16" s="121">
        <f>SUM('Pt 1 Summary of Data'!AB$25:AB$28,'Pt 1 Summary of Data'!AB$30,'Pt 1 Summary of Data'!AB$34:AB$35)+IF('Company Information'!$C$15="No",IF(MAX('Pt 1 Summary of Data'!AB$31:AB$32)=0,MIN('Pt 1 Summary of Data'!AB$31:AB$32),MAX('Pt 1 Summary of Data'!AB$31:AB$32)),SUM('Pt 1 Summary of Data'!AB$31:AB$32))+Z$56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0</v>
      </c>
      <c r="D17" s="121">
        <f>D$15-D$16+IF(AND(OR('Company Information'!$C$12="District of Columbia",'Company Information'!$C$12="Massachusetts",'Company Information'!$C$12="Vermont"),SUM($C$6:$F$11,$C$15:$F$16,$C$37:$D$37)&lt;&gt;0),I$15-I$16,0)</f>
        <v>0</v>
      </c>
      <c r="E17" s="121">
        <f>E$15-E$16+IF(AND(OR('Company Information'!$C$12="District of Columbia",'Company Information'!$C$12="Massachusetts",'Company Information'!$C$12="Vermont"),SUM($C$6:$F$11,$C$15:$F$16,$C$37:$D$37)&lt;&gt;0),J$15-J$16,0)</f>
        <v>0</v>
      </c>
      <c r="F17" s="121">
        <f>F$15-F$16+IF(AND(OR('Company Information'!$C$12="District of Columbia",'Company Information'!$C$12="Massachusetts",'Company Information'!$C$12="Vermont"),SUM($C$6:$F$11,$C$15:$F$16,$C$37:$D$37)&lt;&gt;0),K$15-K$16,0)</f>
        <v>0</v>
      </c>
      <c r="G17" s="320"/>
      <c r="H17" s="120">
        <f>H$15-H$16+IF(AND(OR('Company Information'!$C$12="District of Columbia",'Company Information'!$C$12="Massachusetts",'Company Information'!$C$12="Vermont"),SUM($H$6:$K$11,$H$15:$K$16,$H$37:$I$37)&lt;&gt;0),C$15-C$16,0)</f>
        <v>0</v>
      </c>
      <c r="I17" s="121">
        <f>I$15-I$16+IF(AND(OR('Company Information'!$C$12="District of Columbia",'Company Information'!$C$12="Massachusetts",'Company Information'!$C$12="Vermont"),SUM($H$6:$K$11,$H$15:$K$16,$H$37:$I$37)&lt;&gt;0),D$15-D$16,0)</f>
        <v>0</v>
      </c>
      <c r="J17" s="121">
        <f>J$15-J$16+IF(AND(OR('Company Information'!$C$12="District of Columbia",'Company Information'!$C$12="Massachusetts",'Company Information'!$C$12="Vermont"),SUM($H$6:$K$11,$H$15:$K$16,$H$37:$I$37)&lt;&gt;0),E$15-E$16,0)</f>
        <v>0</v>
      </c>
      <c r="K17" s="121">
        <f>K$15-K$16+IF(AND(OR('Company Information'!$C$12="District of Columbia",'Company Information'!$C$12="Massachusetts",'Company Information'!$C$12="Vermont"),SUM($H$6:$K$11,$H$15:$K$16,$H$37:$I$37)&lt;&gt;0),F$15-F$16,0)</f>
        <v>0</v>
      </c>
      <c r="L17" s="320"/>
      <c r="M17" s="120">
        <f>M$15-M$16</f>
        <v>0</v>
      </c>
      <c r="N17" s="121">
        <f>N$15-N$16</f>
        <v>0</v>
      </c>
      <c r="O17" s="121">
        <f>O$15-O$16</f>
        <v>0</v>
      </c>
      <c r="P17" s="121">
        <f>P$15-P$16</f>
        <v>0</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0</v>
      </c>
      <c r="F37" s="262">
        <f>SUM(C$37:E$37)+IF(AND(OR('Company Information'!$C$12="District of Columbia",'Company Information'!$C$12="Massachusetts",'Company Information'!$C$12="Vermont"),SUM($C$6:$F$11,$C$15:$F$16,$C$37:$D$37)&lt;&gt;0,SUM(C$37:D$37)&lt;&gt;SUM(H$37:I$37)),SUM(H$37:I$37),0)</f>
        <v>0</v>
      </c>
      <c r="G37" s="318"/>
      <c r="H37" s="127"/>
      <c r="I37" s="128"/>
      <c r="J37" s="262">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0</v>
      </c>
      <c r="K37" s="262">
        <f>SUM(H$37:J$37)+IF(AND(OR('Company Information'!$C$12="District of Columbia",'Company Information'!$C$12="Massachusetts",'Company Information'!$C$12="Vermont"),SUM($H$6:$K$11,$H$15:$K$16,$H$37:$I$37)&lt;&gt;0,SUM(H$37:I$37)&lt;&gt;SUM(C$37:D$37)),SUM(C$37:D$37),0)</f>
        <v>0</v>
      </c>
      <c r="L37" s="318"/>
      <c r="M37" s="127"/>
      <c r="N37" s="128"/>
      <c r="O37" s="262">
        <f>('Pt 1 Summary of Data'!Q$59+'Pt 1 Summary of Data'!S$59-'Pt 1 Summary of Data'!T$59)/12</f>
        <v>0</v>
      </c>
      <c r="P37" s="262">
        <f>SUM(M$37:O$37)</f>
        <v>0</v>
      </c>
      <c r="Q37" s="127"/>
      <c r="R37" s="128"/>
      <c r="S37" s="262">
        <f>'Pt 1 Summary of Data'!V$59/12+IF(AND(OR('Company Information'!$C$12="District of Columbia",'Company Information'!$C$12="Massachusetts",'Company Information'!$C$12="Vermont"),SUM($Q$6:$T$7,$Q$15:$T$16,$Q$37:$R$37)&lt;&gt;0),'Pt 1 Summary of Data'!Y$59,0)/12</f>
        <v>0</v>
      </c>
      <c r="T37" s="262">
        <f>SUM(Q$37:S$37)+IF(AND(OR('Company Information'!$C$12="District of Columbia",'Company Information'!$C$12="Massachusetts",'Company Information'!$C$12="Vermont"),SUM($Q$6:$T$7,$Q$15:$T$16,$Q$37:$R$37)&lt;&gt;0,SUM(Q$37:R$37)&lt;&gt;SUM(U$37:V$37)),SUM(U$37:V$37),0)</f>
        <v>0</v>
      </c>
      <c r="U37" s="127"/>
      <c r="V37" s="128"/>
      <c r="W37" s="262">
        <f>'Pt 1 Summary of Data'!Y$59/12+IF(AND(OR('Company Information'!$C$12="District of Columbia",'Company Information'!$C$12="Massachusetts",'Company Information'!$C$12="Vermont"),SUM($U$6:$X$7,$U$15:$X$16,$U$37:$V$37)&lt;&gt;0),'Pt 1 Summary of Data'!V$59,0)/12</f>
        <v>0</v>
      </c>
      <c r="X37" s="262">
        <f>SUM(U$37:W$37)+IF(AND(OR('Company Information'!$C$12="District of Columbia",'Company Information'!$C$12="Massachusetts",'Company Information'!$C$12="Vermont"),SUM($U$6:$X$7,$U$15:$X$16,$U$37:$V$37)&lt;&gt;0,SUM(U$37:V$37)&lt;&gt;SUM(Q$37:R$37)),SUM(Q$37:R$37),0)</f>
        <v>0</v>
      </c>
      <c r="Y37" s="127"/>
      <c r="Z37" s="128"/>
      <c r="AA37" s="262">
        <f>'Pt 1 Summary of Data'!AB$59/12</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7"/>
      <c r="R38" s="358"/>
      <c r="S38" s="358"/>
      <c r="T38" s="273">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IF(OR(P$37&lt;1000,P$37&gt;=75000),0,P$38*P$40)</f>
        <v>0</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t="str">
        <f>IF(OR(M$37&lt;1000,M$17&lt;=0),"",M$12/M$17)</f>
        <v/>
      </c>
      <c r="N44" s="266" t="str">
        <f>IF(OR(N$37&lt;1000,N$17&lt;=0),"",N$12/N$17)</f>
        <v/>
      </c>
      <c r="O44" s="266" t="str">
        <f>IF(OR(O$37&lt;1000,O$17&lt;=0),"",O$12/O$17)</f>
        <v/>
      </c>
      <c r="P44" s="266" t="str">
        <f>IF(OR(P$37&lt;1000,P$17&lt;=0),"",P$12/P$17)</f>
        <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t="str">
        <f>IF(F$44="","",F$41)</f>
        <v/>
      </c>
      <c r="G46" s="317"/>
      <c r="H46" s="298"/>
      <c r="I46" s="294"/>
      <c r="J46" s="294"/>
      <c r="K46" s="266" t="str">
        <f>IF(K$44="","",K$41)</f>
        <v/>
      </c>
      <c r="L46" s="317"/>
      <c r="M46" s="298"/>
      <c r="N46" s="294"/>
      <c r="O46" s="294"/>
      <c r="P46" s="266" t="str">
        <f>IF(P$44="","",P$41)</f>
        <v/>
      </c>
      <c r="Q46" s="299"/>
      <c r="R46" s="295"/>
      <c r="S46" s="295"/>
      <c r="T46" s="266" t="str">
        <f>IF(T$45="","",T$41)</f>
        <v/>
      </c>
      <c r="U46" s="299"/>
      <c r="V46" s="295"/>
      <c r="W46" s="295"/>
      <c r="X46" s="266" t="str">
        <f>IF(X$45="","",X$41)</f>
        <v/>
      </c>
      <c r="Y46" s="299"/>
      <c r="Z46" s="295"/>
      <c r="AA46" s="295"/>
      <c r="AB46" s="266" t="str">
        <f>IF(AB$45="","",AB$41)</f>
        <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t="str">
        <f>IF(P$44="","",ROUND(P$44+MAX(0,P$46),3))</f>
        <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f>IF('Company Information'!$C$12="","Please select a State",VLOOKUP('Company Information'!$C$12,'Reference Tables'!$D$3:$J$60,2,FALSE))</f>
        <v>0</v>
      </c>
      <c r="R49" s="147">
        <f>IF('Company Information'!$C$12="","Please select a State",VLOOKUP('Company Information'!$C$12,'Reference Tables'!$D$3:$J$60,4,FALSE))</f>
        <v>0</v>
      </c>
      <c r="S49" s="147">
        <f>IF('Company Information'!$C$12="","Please select a State",VLOOKUP('Company Information'!$C$12,'Reference Tables'!$D$3:$J$60,6,FALSE))</f>
        <v>0</v>
      </c>
      <c r="T49" s="147">
        <f>S$49</f>
        <v>0</v>
      </c>
      <c r="U49" s="146">
        <f>IF('Company Information'!$C$12="","Please select a State",VLOOKUP('Company Information'!$C$12,'Reference Tables'!$D$3:$J$60,3,FALSE))</f>
        <v>2021</v>
      </c>
      <c r="V49" s="147">
        <f>IF('Company Information'!$C$12="","Please select a State",VLOOKUP('Company Information'!$C$12,'Reference Tables'!$D$3:$J$60,5,FALSE))</f>
        <v>0</v>
      </c>
      <c r="W49" s="147">
        <f>IF('Company Information'!$C$12="","Please select a State",VLOOKUP('Company Information'!$C$12,'Reference Tables'!$D$3:$J$60,7,FALSE))</f>
        <v>0</v>
      </c>
      <c r="X49" s="147">
        <f>W$49</f>
        <v>0</v>
      </c>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t="str">
        <f>P$47</f>
        <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t="str">
        <f>IF(P$37&lt;1000,"",MAX(0,O$15-O$16))</f>
        <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IF(OR(F$37&lt;1000,F$17&lt;=0),0,MAX(0,F$49-F$50)*F$51)</f>
        <v>0</v>
      </c>
      <c r="G52" s="317"/>
      <c r="H52" s="298"/>
      <c r="I52" s="294"/>
      <c r="J52" s="294"/>
      <c r="K52" s="121">
        <f>IF(OR(K$37&lt;1000,K$17&lt;=0),0,MAX(0,K$49-K$50)*K$51)</f>
        <v>0</v>
      </c>
      <c r="L52" s="317"/>
      <c r="M52" s="298"/>
      <c r="N52" s="294"/>
      <c r="O52" s="294"/>
      <c r="P52" s="121">
        <f>IF(OR(P$37&lt;1000,P$17&lt;=0),0,MAX(0,P$49-P$50)*P$51)</f>
        <v>0</v>
      </c>
      <c r="Q52" s="298"/>
      <c r="R52" s="294"/>
      <c r="S52" s="294"/>
      <c r="T52" s="121">
        <f>IF(OR(T$37&lt;1000,T$17&lt;=0),0,MAX(0,T$49-T$50)*T$51)</f>
        <v>0</v>
      </c>
      <c r="U52" s="298"/>
      <c r="V52" s="294"/>
      <c r="W52" s="294"/>
      <c r="X52" s="121">
        <f>IF(OR(X$37&lt;1000,X$17&lt;=0),0,MAX(0,X$49-X$50)*X$51)</f>
        <v>0</v>
      </c>
      <c r="Y52" s="298"/>
      <c r="Z52" s="294"/>
      <c r="AA52" s="294"/>
      <c r="AB52" s="121">
        <f>IF(OR(AB$37&lt;1000,AB$17&lt;=0),0,MAX(0,AB$49-AB$50)*AB$51)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Data'!$E$56+'Pt 1 Summary of Data'!$G$56-'Pt 1 Summary of Data'!$H$56</f>
        <v>0</v>
      </c>
      <c r="D4" s="155">
        <f>'Pt 1 Summary of Data'!$K$56+'Pt 1 Summary of Data'!$M$56-'Pt 1 Summary of Data'!$N$56</f>
        <v>0</v>
      </c>
      <c r="E4" s="155">
        <f>'Pt 1 Summary of Data'!$Q$56+'Pt 1 Summary of Data'!$S$56-'Pt 1 Summary of Data'!$T$56</f>
        <v>0</v>
      </c>
      <c r="F4" s="155">
        <f>'Pt 1 Summary of Data'!$V$56</f>
        <v>0</v>
      </c>
      <c r="G4" s="155">
        <f>'Pt 1 Summary of Data'!$Y$56</f>
        <v>0</v>
      </c>
      <c r="H4" s="155">
        <f>'Pt 1 Summary of Data'!$AB$56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v>0</v>
      </c>
      <c r="D14" s="119">
        <v>0</v>
      </c>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2015-07-22T19:28:43Z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