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T38" i="10" s="1"/>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X46" i="10"/>
  <c r="P46" i="10"/>
  <c r="AB45" i="10"/>
  <c r="AA45" i="10"/>
  <c r="Z45" i="10"/>
  <c r="Y45" i="10"/>
  <c r="X45" i="10"/>
  <c r="X47" i="10" s="1"/>
  <c r="X50" i="10" s="1"/>
  <c r="W45" i="10"/>
  <c r="X38" i="10" s="1"/>
  <c r="V45" i="10"/>
  <c r="U45" i="10"/>
  <c r="T45" i="10"/>
  <c r="T47" i="10" s="1"/>
  <c r="T50" i="10" s="1"/>
  <c r="S45" i="10"/>
  <c r="R45" i="10"/>
  <c r="Q45" i="10"/>
  <c r="P44" i="10"/>
  <c r="O44" i="10"/>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Y17" i="10"/>
  <c r="X17" i="10"/>
  <c r="W17" i="10"/>
  <c r="V17" i="10"/>
  <c r="U17" i="10"/>
  <c r="X13" i="10" s="1"/>
  <c r="T17" i="10"/>
  <c r="S17" i="10"/>
  <c r="R17" i="10"/>
  <c r="Q17" i="10"/>
  <c r="P17" i="10"/>
  <c r="O17" i="10"/>
  <c r="N17" i="10"/>
  <c r="M17" i="10"/>
  <c r="AB16" i="10"/>
  <c r="AA16" i="10"/>
  <c r="X16" i="10"/>
  <c r="W16" i="10"/>
  <c r="U13" i="10" s="1"/>
  <c r="T16" i="10"/>
  <c r="T13" i="10" s="1"/>
  <c r="S16" i="10"/>
  <c r="S13" i="10" s="1"/>
  <c r="P16" i="10"/>
  <c r="O16" i="10"/>
  <c r="L16" i="10"/>
  <c r="K16" i="10"/>
  <c r="J16" i="10"/>
  <c r="G16" i="10"/>
  <c r="F16" i="10"/>
  <c r="E16" i="10"/>
  <c r="AB15" i="10"/>
  <c r="AA15" i="10"/>
  <c r="X15" i="10"/>
  <c r="W15" i="10"/>
  <c r="T15" i="10"/>
  <c r="S15" i="10"/>
  <c r="Q13" i="10" s="1"/>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S22" i="4" s="1"/>
  <c r="AC55" i="18"/>
  <c r="AB55" i="18"/>
  <c r="AA55" i="18"/>
  <c r="Z55" i="18"/>
  <c r="Y55" i="18"/>
  <c r="X55" i="18"/>
  <c r="X22" i="4" s="1"/>
  <c r="W55" i="18"/>
  <c r="V55" i="18"/>
  <c r="V22" i="4" s="1"/>
  <c r="U55" i="18"/>
  <c r="T55" i="18"/>
  <c r="S55" i="18"/>
  <c r="S22" i="4" s="1"/>
  <c r="R55" i="18"/>
  <c r="Q55" i="18"/>
  <c r="P55" i="18"/>
  <c r="P22" i="4" s="1"/>
  <c r="O55" i="18"/>
  <c r="O22" i="4" s="1"/>
  <c r="N55" i="18"/>
  <c r="M55" i="18"/>
  <c r="L55" i="18"/>
  <c r="K55" i="18"/>
  <c r="J55" i="18"/>
  <c r="I55" i="18"/>
  <c r="H55" i="18"/>
  <c r="G55" i="18"/>
  <c r="F55" i="18"/>
  <c r="E55" i="18"/>
  <c r="E22" i="4" s="1"/>
  <c r="D55" i="18"/>
  <c r="AU54" i="18"/>
  <c r="AT54" i="18"/>
  <c r="AS54" i="18"/>
  <c r="AC54" i="18"/>
  <c r="AC12" i="4" s="1"/>
  <c r="AB54" i="18"/>
  <c r="AA54" i="18"/>
  <c r="Z54" i="18"/>
  <c r="Z12" i="4" s="1"/>
  <c r="Y54" i="18"/>
  <c r="Y12" i="4" s="1"/>
  <c r="X54" i="18"/>
  <c r="W54" i="18"/>
  <c r="W12" i="4" s="1"/>
  <c r="V54" i="18"/>
  <c r="U54" i="18"/>
  <c r="U12" i="4" s="1"/>
  <c r="T54" i="18"/>
  <c r="T12" i="4" s="1"/>
  <c r="S54" i="18"/>
  <c r="R54" i="18"/>
  <c r="R12" i="4" s="1"/>
  <c r="Q54" i="18"/>
  <c r="P54" i="18"/>
  <c r="O54" i="18"/>
  <c r="O12" i="4" s="1"/>
  <c r="N54" i="18"/>
  <c r="N12" i="4" s="1"/>
  <c r="M54" i="18"/>
  <c r="L54" i="18"/>
  <c r="L12" i="4" s="1"/>
  <c r="K54" i="18"/>
  <c r="J54" i="18"/>
  <c r="I54" i="18"/>
  <c r="I12" i="4" s="1"/>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B22" i="4"/>
  <c r="AA22" i="4"/>
  <c r="Z22" i="4"/>
  <c r="Y22" i="4"/>
  <c r="W22" i="4"/>
  <c r="U22" i="4"/>
  <c r="T22" i="4"/>
  <c r="R22" i="4"/>
  <c r="Q22" i="4"/>
  <c r="N22" i="4"/>
  <c r="M22" i="4"/>
  <c r="L22" i="4"/>
  <c r="K22" i="4"/>
  <c r="J22" i="4"/>
  <c r="I22" i="4"/>
  <c r="H22" i="4"/>
  <c r="G22" i="4"/>
  <c r="F22" i="4"/>
  <c r="D22" i="4"/>
  <c r="AU12" i="4"/>
  <c r="AT12" i="4"/>
  <c r="AS12" i="4"/>
  <c r="AB12" i="4"/>
  <c r="AA12" i="4"/>
  <c r="X12" i="4"/>
  <c r="V12" i="4"/>
  <c r="S12" i="4"/>
  <c r="Q12" i="4"/>
  <c r="P12" i="4"/>
  <c r="M12" i="4"/>
  <c r="K12" i="4"/>
  <c r="J12" i="4"/>
  <c r="G12" i="4"/>
  <c r="F12" i="4"/>
  <c r="E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K15" i="10" l="1"/>
  <c r="F15" i="10"/>
  <c r="G25" i="10"/>
  <c r="G7" i="10"/>
  <c r="G21" i="10" s="1"/>
  <c r="E7" i="10"/>
  <c r="J7" i="10"/>
  <c r="G20" i="10"/>
  <c r="L23" i="10"/>
  <c r="L27" i="10" s="1"/>
  <c r="L31" i="10" s="1"/>
  <c r="L32" i="10" s="1"/>
  <c r="L33" i="10" s="1"/>
  <c r="L26" i="10"/>
  <c r="L30" i="10" s="1"/>
  <c r="T46" i="10"/>
  <c r="P38" i="10"/>
  <c r="W13" i="10"/>
  <c r="R13" i="10"/>
  <c r="V13" i="10"/>
  <c r="F7" i="10" l="1"/>
  <c r="C17" i="10" s="1"/>
  <c r="E37" i="10"/>
  <c r="D12" i="10"/>
  <c r="D17" i="10"/>
  <c r="D44" i="10" s="1"/>
  <c r="E12" i="10"/>
  <c r="C12" i="10"/>
  <c r="G29" i="10"/>
  <c r="G19" i="10"/>
  <c r="G28" i="10"/>
  <c r="K7" i="10"/>
  <c r="I17" i="10" s="1"/>
  <c r="I44" i="10" s="1"/>
  <c r="H17" i="10"/>
  <c r="H44" i="10" s="1"/>
  <c r="J37" i="10"/>
  <c r="J12" i="10"/>
  <c r="E17" i="10"/>
  <c r="G24" i="10"/>
  <c r="G23" i="10" s="1"/>
  <c r="G27" i="10" s="1"/>
  <c r="C44" i="10" l="1"/>
  <c r="F12" i="10"/>
  <c r="K37" i="10"/>
  <c r="E44" i="10"/>
  <c r="F37" i="10"/>
  <c r="K17" i="10"/>
  <c r="F17" i="10"/>
  <c r="H12" i="10"/>
  <c r="I12" i="10"/>
  <c r="K12" i="10" s="1"/>
  <c r="J17" i="10"/>
  <c r="J44" i="10" s="1"/>
  <c r="G31" i="10"/>
  <c r="G32" i="10" s="1"/>
  <c r="G33" i="10" s="1"/>
  <c r="G26" i="10"/>
  <c r="G30" i="10" s="1"/>
  <c r="K51" i="10" l="1"/>
  <c r="K38" i="10"/>
  <c r="K44" i="10"/>
  <c r="K41" i="10"/>
  <c r="K52" i="10"/>
  <c r="D11" i="16" s="1"/>
  <c r="F41" i="10"/>
  <c r="F51" i="10"/>
  <c r="F38" i="10"/>
  <c r="F44" i="10"/>
  <c r="K47" i="10" l="1"/>
  <c r="K50" i="10" s="1"/>
  <c r="K46" i="10"/>
  <c r="F46" i="10"/>
  <c r="F47" i="10" s="1"/>
  <c r="F50" i="10" s="1"/>
  <c r="F52" i="10" s="1"/>
  <c r="C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<sst xmlns="http://schemas.openxmlformats.org/spreadsheetml/2006/main" count="570" uniqueCount="509">
  <si>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</si>
  <si>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</si>
  <si>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</si>
  <si>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</si>
  <si>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</si>
  <si>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</si>
  <si>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</si>
  <si>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</si>
  <si>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</si>
  <si>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</si>
  <si>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</si>
  <si>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</si>
  <si>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</si>
  <si>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</si>
  <si>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</si>
  <si>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</si>
  <si>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</si>
  <si>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</si>
  <si>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</si>
  <si>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</si>
  <si>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</si>
  <si>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</si>
  <si>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</si>
  <si>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</si>
  <si>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</si>
  <si>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</si>
  <si>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</si>
  <si>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</si>
  <si>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</si>
  <si>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</si>
  <si>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</si>
  <si>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</si>
  <si>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</si>
  <si>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</si>
  <si>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</si>
  <si>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</si>
  <si>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</si>
  <si>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</si>
  <si>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</si>
  <si>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</si>
  <si>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</si>
  <si>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</si>
  <si>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</si>
  <si>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</si>
  <si>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</si>
  <si>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</si>
  <si>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</si>
  <si>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</si>
  <si>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</si>
  <si>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</si>
  <si>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</si>
  <si>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</si>
  <si>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</si>
  <si>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</si>
  <si>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</si>
  <si>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</si>
  <si>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</si>
  <si>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</si>
  <si>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</si>
  <si>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</si>
  <si>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</si>
  <si>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</si>
  <si>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</si>
  <si>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</si>
  <si>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</si>
  <si>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</si>
  <si>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</si>
  <si>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</si>
  <si>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</si>
  <si>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</si>
  <si>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</si>
  <si>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</si>
  <si>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</si>
  <si>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</si>
  <si>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</si>
  <si>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</si>
  <si>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</si>
  <si>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</si>
  <si>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</si>
  <si>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</si>
  <si>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</si>
  <si>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</si>
  <si>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</si>
  <si>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</si>
  <si>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</si>
  <si>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</si>
  <si>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</si>
  <si>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</si>
  <si>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</si>
  <si>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</si>
  <si>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</si>
  <si>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</si>
  <si>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</si>
  <si>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</si>
  <si>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</si>
  <si>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</si>
  <si>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</si>
  <si>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</si>
  <si>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</si>
  <si>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</si>
  <si>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</si>
  <si>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</si>
  <si>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</si>
  <si>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</si>
  <si>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</si>
  <si>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</si>
  <si>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</si>
  <si>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</si>
  <si>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</si>
  <si>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</si>
  <si>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</si>
  <si>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</si>
  <si>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</si>
  <si>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</si>
  <si>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</si>
  <si>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</si>
  <si>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</si>
  <si>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</si>
  <si>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</si>
  <si>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</si>
  <si>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</si>
  <si>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</si>
  <si>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</si>
  <si>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</si>
  <si>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</si>
  <si>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</si>
  <si>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</si>
  <si>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</si>
  <si>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</si>
  <si>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</si>
  <si>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</si>
  <si>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</si>
  <si>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</si>
  <si>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</si>
  <si>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</si>
  <si>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</si>
  <si>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</si>
  <si>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</si>
  <si>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</si>
  <si>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</si>
  <si>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</si>
  <si>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</si>
  <si>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</si>
  <si>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</si>
  <si>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</si>
  <si>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</si>
  <si>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</si>
  <si>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</si>
  <si>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</si>
  <si>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</si>
  <si>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</si>
  <si>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</si>
  <si>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</si>
  <si>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</si>
  <si>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</si>
  <si>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</si>
  <si>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</si>
  <si>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</si>
  <si>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</si>
  <si>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</si>
  <si>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</si>
  <si>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</si>
  <si>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</si>
  <si>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</si>
  <si>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</si>
  <si>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</si>
  <si>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</si>
  <si>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</si>
  <si>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</si>
  <si>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</si>
  <si>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</si>
  <si>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</si>
  <si>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</si>
  <si>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</si>
  <si>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</si>
  <si>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</si>
  <si>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</si>
  <si>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</si>
  <si>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</si>
  <si>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</si>
  <si>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</si>
  <si>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</si>
  <si>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</si>
  <si>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</si>
  <si>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</si>
  <si>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</si>
  <si>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</si>
  <si>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</si>
  <si>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</si>
  <si>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</si>
  <si>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</si>
  <si>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</si>
  <si>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</si>
  <si>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</si>
  <si>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</si>
  <si>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</si>
  <si>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</si>
  <si>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</si>
  <si>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</si>
  <si>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</si>
  <si>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</si>
  <si>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</si>
  <si>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</si>
  <si>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</si>
  <si>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</si>
  <si>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</si>
  <si>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</si>
  <si>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</si>
  <si>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</si>
  <si>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</si>
  <si>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</si>
  <si>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</si>
  <si>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</si>
  <si>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</si>
  <si>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</si>
  <si>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</si>
  <si>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</si>
  <si>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</si>
  <si>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</si>
  <si>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</si>
  <si>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</si>
  <si>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</si>
  <si>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</si>
  <si>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</si>
  <si>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</si>
  <si>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</si>
  <si>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</si>
  <si>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</si>
  <si>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</si>
  <si>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</si>
  <si>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</si>
  <si>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</si>
  <si>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</si>
  <si>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</si>
  <si>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</si>
  <si>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</si>
  <si>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</si>
  <si>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</si>
  <si>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</si>
  <si>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</si>
  <si>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</si>
  <si>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</si>
  <si>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</si>
  <si>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</si>
  <si>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</si>
  <si>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</si>
  <si>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</si>
  <si>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</si>
  <si>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</si>
  <si>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</si>
  <si>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</si>
  <si>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</si>
  <si>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</si>
  <si>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</si>
  <si>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</si>
  <si>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</si>
  <si>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</si>
  <si>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</si>
  <si>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</si>
  <si>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</si>
  <si>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</si>
  <si>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</si>
  <si>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</si>
  <si>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</si>
  <si>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</si>
  <si>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</si>
  <si>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</si>
  <si>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</si>
  <si>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</si>
  <si>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</si>
  <si>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</si>
  <si>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</si>
  <si>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</si>
  <si>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</si>
  <si>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</si>
  <si>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</si>
  <si>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</si>
  <si>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</si>
  <si>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</si>
  <si>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</si>
  <si>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</si>
  <si>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</si>
  <si>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</si>
  <si>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</si>
  <si>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</si>
  <si>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</si>
  <si>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</si>
  <si>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</si>
  <si>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</si>
  <si>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</si>
  <si>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</si>
  <si>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</si>
  <si>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</si>
  <si>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</si>
  <si>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</si>
  <si>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</si>
  <si>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</si>
  <si>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</si>
  <si>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</si>
  <si>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</si>
  <si>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</si>
  <si>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</si>
  <si>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</si>
  <si>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</si>
  <si>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</si>
  <si>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</si>
  <si>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</si>
  <si>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</si>
  <si>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</si>
  <si>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</si>
  <si>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</si>
  <si>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</si>
  <si>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</si>
  <si>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</si>
  <si>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</si>
  <si>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</si>
  <si>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</si>
  <si>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</si>
  <si>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</si>
  <si>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</si>
  <si>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</si>
  <si>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</si>
  <si>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</si>
  <si>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</si>
  <si>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</si>
  <si>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</si>
  <si>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</si>
  <si>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</si>
  <si>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</si>
  <si>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</si>
  <si>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</si>
  <si>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</si>
  <si>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</si>
  <si>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</si>
  <si>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</si>
  <si>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</si>
  <si>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</si>
  <si>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</si>
  <si>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</si>
  <si>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</si>
  <si>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</si>
  <si>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</si>
  <si>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</si>
  <si>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</si>
  <si>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</si>
  <si>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</si>
  <si>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</si>
  <si>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</si>
  <si>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</si>
  <si>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</si>
  <si>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</si>
  <si>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</si>
  <si>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</si>
  <si>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</si>
  <si>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</si>
  <si>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</si>
  <si>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</si>
  <si>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</si>
  <si>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</si>
  <si>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</si>
  <si>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</si>
  <si>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</si>
  <si>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</si>
  <si>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</si>
  <si>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</si>
  <si>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</si>
  <si>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</si>
  <si>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</si>
  <si>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</si>
  <si>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</si>
  <si>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</si>
  <si>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</si>
  <si>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</si>
  <si>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</si>
  <si>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</si>
  <si>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</si>
  <si>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</si>
  <si>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</si>
  <si>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</si>
  <si>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</si>
  <si>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</si>
  <si>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</si>
  <si>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</si>
  <si>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</si>
  <si>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</si>
  <si>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</si>
  <si>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</si>
  <si>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</si>
  <si>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</si>
  <si>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</si>
  <si>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</si>
  <si>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</si>
  <si>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</si>
  <si>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</si>
  <si>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</si>
  <si>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</si>
  <si>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</si>
  <si>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</si>
  <si>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</si>
  <si>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</si>
  <si>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</si>
  <si>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</si>
  <si>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</si>
  <si>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</si>
  <si>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</si>
  <si>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</si>
  <si>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</si>
  <si>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</si>
  <si>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</si>
  <si>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</si>
  <si>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</si>
  <si>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</si>
  <si>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</si>
  <si>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</si>
  <si>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</si>
  <si>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</si>
  <si>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</si>
  <si>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</si>
  <si>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</si>
  <si>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</si>
  <si>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</si>
  <si>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</si>
  <si>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</si>
  <si>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</si>
  <si>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</si>
  <si>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</si>
  <si>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</si>
  <si>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</si>
  <si>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</si>
  <si>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</si>
  <si>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</si>
  <si>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</si>
  <si>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</si>
  <si>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</si>
  <si>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</si>
  <si>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</si>
  <si>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</si>
  <si>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</si>
  <si>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</si>
  <si>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</si>
  <si>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</si>
  <si>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</si>
  <si>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</si>
  <si>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</si>
  <si>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</si>
  <si>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</si>
  <si>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</si>
  <si>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</si>
  <si>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</si>
  <si>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</si>
  <si>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</si>
  <si>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</si>
  <si>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</si>
  <si>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</si>
  <si>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</si>
  <si>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</si>
  <si>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</si>
  <si>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</si>
  <si>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</si>
  <si>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</si>
  <si>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</si>
  <si>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</si>
  <si>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</si>
  <si>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</si>
  <si>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</si>
  <si>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</si>
  <si>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</si>
  <si>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</si>
  <si>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</si>
  <si>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</si>
  <si>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</si>
  <si>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</si>
  <si>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</si>
  <si>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</si>
  <si>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</si>
  <si>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</si>
  <si>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</si>
  <si>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</si>
  <si>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</si>
  <si>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</si>
  <si>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</si>
  <si>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</si>
  <si>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</si>
  <si>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</si>
  <si>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</si>
  <si>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</si>
  <si>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</si>
  <si>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</si>
  <si>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</si>
  <si>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</si>
  <si>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</si>
  <si>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</si>
  <si>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</si>
  <si>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</si>
  <si>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</si>
  <si>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</si>
  <si>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</si>
  <si>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</si>
  <si>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</si>
  <si>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</si>
  <si>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</si>
  <si>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</si>
  <si>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</si>
  <si>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15980</t>
  </si>
  <si>
    <t>219</t>
  </si>
  <si>
    <t>Humana Medical Plan, Inc.</t>
  </si>
  <si>
    <t>Humana Health Insurance Company of Florida,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</si>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</sst>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145</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61309721</v>
      </c>
      <c r="E5" s="106">
        <f>SUM('Pt 2 Premium and Claims'!E$5,'Pt 2 Premium and Claims'!E$6,-'Pt 2 Premium and Claims'!E$7,-'Pt 2 Premium and Claims'!E$13,'Pt 2 Premium and Claims'!E$14:'Pt 2 Premium and Claims'!E$17)</f>
        <v>62910112.790000103</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5070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5078.88</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1393093231</v>
      </c>
      <c r="AT5" s="107">
        <f>SUM('Pt 2 Premium and Claims'!AT$5,'Pt 2 Premium and Claims'!AT$6,-'Pt 2 Premium and Claims'!AT$7,-'Pt 2 Premium and Claims'!AT$13,'Pt 2 Premium and Claims'!AT$14)</f>
        <v>44985536</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-127148</v>
      </c>
      <c r="E7" s="110">
        <v>-127148</v>
      </c>
      <c r="F7" s="110"/>
      <c r="G7" s="110"/>
      <c r="H7" s="110"/>
      <c r="I7" s="109"/>
      <c r="J7" s="109">
        <v>-24</v>
      </c>
      <c r="K7" s="110">
        <v>-24</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v>
      </c>
      <c r="AU7" s="113"/>
      <c r="AV7" s="311"/>
      <c r="AW7" s="318"/>
    </row>
    <row r="8" spans="1:49" ht="25.5" x14ac:dyDescent="0.2">
      <c r="B8" s="155" t="s">
        <v>225</v>
      </c>
      <c r="C8" s="62" t="s">
        <v>59</v>
      </c>
      <c r="D8" s="109">
        <v>-249307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-568155</v>
      </c>
      <c r="AT8" s="113">
        <v>-123415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44755005</v>
      </c>
      <c r="E12" s="106">
        <f>'Pt 2 Premium and Claims'!E$54</f>
        <v>44168143.425999999</v>
      </c>
      <c r="F12" s="106">
        <f>'Pt 2 Premium and Claims'!F$54</f>
        <v>0</v>
      </c>
      <c r="G12" s="106">
        <f>'Pt 2 Premium and Claims'!G$54</f>
        <v>0</v>
      </c>
      <c r="H12" s="106">
        <f>'Pt 2 Premium and Claims'!H$54</f>
        <v>0</v>
      </c>
      <c r="I12" s="105">
        <f>'Pt 2 Premium and Claims'!I$54</f>
        <v>0</v>
      </c>
      <c r="J12" s="105">
        <f>'Pt 2 Premium and Claims'!J$54</f>
        <v>21542</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3918.6194999999952</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1242016954</v>
      </c>
      <c r="AT12" s="107">
        <f>'Pt 2 Premium and Claims'!AT$54</f>
        <v>27048468</v>
      </c>
      <c r="AU12" s="107">
        <f>'Pt 2 Premium and Claims'!AU$54</f>
        <v>0</v>
      </c>
      <c r="AV12" s="312"/>
      <c r="AW12" s="317"/>
    </row>
    <row r="13" spans="1:49" ht="25.5" x14ac:dyDescent="0.2">
      <c r="B13" s="155" t="s">
        <v>230</v>
      </c>
      <c r="C13" s="62" t="s">
        <v>37</v>
      </c>
      <c r="D13" s="109">
        <v>4061754</v>
      </c>
      <c r="E13" s="110">
        <v>4066057.0699999994</v>
      </c>
      <c r="F13" s="110"/>
      <c r="G13" s="289"/>
      <c r="H13" s="290"/>
      <c r="I13" s="109"/>
      <c r="J13" s="109">
        <v>1376</v>
      </c>
      <c r="K13" s="110"/>
      <c r="L13" s="110"/>
      <c r="M13" s="289"/>
      <c r="N13" s="290"/>
      <c r="O13" s="109"/>
      <c r="P13" s="109"/>
      <c r="Q13" s="110">
        <v>1375.8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484011189</v>
      </c>
      <c r="AT13" s="113">
        <v>853</v>
      </c>
      <c r="AU13" s="113"/>
      <c r="AV13" s="311"/>
      <c r="AW13" s="318"/>
    </row>
    <row r="14" spans="1:49" ht="25.5" x14ac:dyDescent="0.2">
      <c r="B14" s="155" t="s">
        <v>231</v>
      </c>
      <c r="C14" s="62" t="s">
        <v>6</v>
      </c>
      <c r="D14" s="109">
        <v>475320</v>
      </c>
      <c r="E14" s="110">
        <v>448966.85000000003</v>
      </c>
      <c r="F14" s="110"/>
      <c r="G14" s="288"/>
      <c r="H14" s="291"/>
      <c r="I14" s="109"/>
      <c r="J14" s="109">
        <v>35</v>
      </c>
      <c r="K14" s="110"/>
      <c r="L14" s="110"/>
      <c r="M14" s="288"/>
      <c r="N14" s="291"/>
      <c r="O14" s="109"/>
      <c r="P14" s="109"/>
      <c r="Q14" s="110">
        <v>33.119999999999997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138888978</v>
      </c>
      <c r="AT14" s="113">
        <v>287</v>
      </c>
      <c r="AU14" s="113"/>
      <c r="AV14" s="311"/>
      <c r="AW14" s="318"/>
    </row>
    <row r="15" spans="1:49" ht="38.25" x14ac:dyDescent="0.2">
      <c r="B15" s="155" t="s">
        <v>232</v>
      </c>
      <c r="C15" s="62" t="s">
        <v>7</v>
      </c>
      <c r="D15" s="109">
        <v>1860</v>
      </c>
      <c r="E15" s="110">
        <v>1860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45102</v>
      </c>
      <c r="AT15" s="113">
        <v>2188</v>
      </c>
      <c r="AU15" s="113"/>
      <c r="AV15" s="311"/>
      <c r="AW15" s="318"/>
    </row>
    <row r="16" spans="1:49" ht="25.5" x14ac:dyDescent="0.2">
      <c r="B16" s="155" t="s">
        <v>233</v>
      </c>
      <c r="C16" s="62" t="s">
        <v>61</v>
      </c>
      <c r="D16" s="109">
        <v>-863399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-309414</v>
      </c>
      <c r="AT16" s="113">
        <v>-14483</v>
      </c>
      <c r="AU16" s="113"/>
      <c r="AV16" s="311"/>
      <c r="AW16" s="318"/>
    </row>
    <row r="17" spans="1:49" x14ac:dyDescent="0.2">
      <c r="B17" s="155" t="s">
        <v>234</v>
      </c>
      <c r="C17" s="62" t="s">
        <v>62</v>
      </c>
      <c r="D17" s="109">
        <v>-2506244</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3112339</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4333757.0000000009</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3744057</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118618</v>
      </c>
      <c r="E22" s="115">
        <f>'Pt 2 Premium and Claims'!E$55</f>
        <v>118618</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-463612.22950000002</v>
      </c>
      <c r="E25" s="110">
        <v>-463612.22950000002</v>
      </c>
      <c r="F25" s="110"/>
      <c r="G25" s="110"/>
      <c r="H25" s="110"/>
      <c r="I25" s="109"/>
      <c r="J25" s="109">
        <v>-14971.698710000001</v>
      </c>
      <c r="K25" s="110">
        <v>-14971.698710000001</v>
      </c>
      <c r="L25" s="110"/>
      <c r="M25" s="110"/>
      <c r="N25" s="110"/>
      <c r="O25" s="109"/>
      <c r="P25" s="109">
        <v>20237.469999999998</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-4001330.858</v>
      </c>
      <c r="AT25" s="113">
        <v>2400586.9900000002</v>
      </c>
      <c r="AU25" s="113"/>
      <c r="AV25" s="113"/>
      <c r="AW25" s="318"/>
    </row>
    <row r="26" spans="1:49" s="5" customFormat="1" x14ac:dyDescent="0.2">
      <c r="A26" s="35"/>
      <c r="B26" s="158" t="s">
        <v>243</v>
      </c>
      <c r="C26" s="62"/>
      <c r="D26" s="109"/>
      <c r="E26" s="110">
        <v>59255.11</v>
      </c>
      <c r="F26" s="110"/>
      <c r="G26" s="110"/>
      <c r="H26" s="110"/>
      <c r="I26" s="109"/>
      <c r="J26" s="109"/>
      <c r="K26" s="110">
        <v>3.93</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758785.35</v>
      </c>
      <c r="E27" s="110">
        <v>758785.35</v>
      </c>
      <c r="F27" s="110"/>
      <c r="G27" s="110"/>
      <c r="H27" s="110"/>
      <c r="I27" s="109"/>
      <c r="J27" s="109">
        <v>62.93</v>
      </c>
      <c r="K27" s="110">
        <v>62.93</v>
      </c>
      <c r="L27" s="110"/>
      <c r="M27" s="110"/>
      <c r="N27" s="110"/>
      <c r="O27" s="109"/>
      <c r="P27" s="109">
        <v>-20237.18</v>
      </c>
      <c r="Q27" s="110">
        <v>-20237.18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17293783.310000002</v>
      </c>
      <c r="AT27" s="113">
        <v>519685.45000000007</v>
      </c>
      <c r="AU27" s="113"/>
      <c r="AV27" s="314"/>
      <c r="AW27" s="318"/>
    </row>
    <row r="28" spans="1:49" s="5" customFormat="1" x14ac:dyDescent="0.2">
      <c r="A28" s="35"/>
      <c r="B28" s="158" t="s">
        <v>245</v>
      </c>
      <c r="C28" s="62"/>
      <c r="D28" s="109">
        <v>1918553.35</v>
      </c>
      <c r="E28" s="110">
        <v>291155.49000000005</v>
      </c>
      <c r="F28" s="110"/>
      <c r="G28" s="110"/>
      <c r="H28" s="110"/>
      <c r="I28" s="109"/>
      <c r="J28" s="109">
        <v>25.28</v>
      </c>
      <c r="K28" s="110">
        <v>19.14</v>
      </c>
      <c r="L28" s="110"/>
      <c r="M28" s="110"/>
      <c r="N28" s="110"/>
      <c r="O28" s="109"/>
      <c r="P28" s="109">
        <v>-0.29000000000000004</v>
      </c>
      <c r="Q28" s="110">
        <v>2.93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77586.64</v>
      </c>
      <c r="AT28" s="113">
        <v>16720.64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-19074.575000000001</v>
      </c>
      <c r="E30" s="110">
        <v>-51485.263800000001</v>
      </c>
      <c r="F30" s="110"/>
      <c r="G30" s="110"/>
      <c r="H30" s="110"/>
      <c r="I30" s="109"/>
      <c r="J30" s="109">
        <v>-1029.1123459999999</v>
      </c>
      <c r="K30" s="110">
        <v>-1027.1823459999998</v>
      </c>
      <c r="L30" s="110"/>
      <c r="M30" s="110"/>
      <c r="N30" s="110"/>
      <c r="O30" s="109"/>
      <c r="P30" s="109">
        <v>13535.310000000001</v>
      </c>
      <c r="Q30" s="110">
        <v>13535.32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-56433.334300000017</v>
      </c>
      <c r="AT30" s="113">
        <v>182555.19289999997</v>
      </c>
      <c r="AU30" s="113"/>
      <c r="AV30" s="113"/>
      <c r="AW30" s="318"/>
    </row>
    <row r="31" spans="1:49" x14ac:dyDescent="0.2">
      <c r="B31" s="158" t="s">
        <v>248</v>
      </c>
      <c r="C31" s="62"/>
      <c r="D31" s="109">
        <v>475943.73879999993</v>
      </c>
      <c r="E31" s="110">
        <v>467239.20879999996</v>
      </c>
      <c r="F31" s="110"/>
      <c r="G31" s="110"/>
      <c r="H31" s="110"/>
      <c r="I31" s="109"/>
      <c r="J31" s="109">
        <v>32.64</v>
      </c>
      <c r="K31" s="110">
        <v>32.64</v>
      </c>
      <c r="L31" s="110"/>
      <c r="M31" s="110"/>
      <c r="N31" s="110"/>
      <c r="O31" s="109"/>
      <c r="P31" s="109">
        <v>-13535.310000000001</v>
      </c>
      <c r="Q31" s="110">
        <v>-13535.310000000001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273302.12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1901990.83</v>
      </c>
      <c r="F34" s="110"/>
      <c r="G34" s="110"/>
      <c r="H34" s="110"/>
      <c r="I34" s="109"/>
      <c r="J34" s="109"/>
      <c r="K34" s="110">
        <v>20.8</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79627.179999999993</v>
      </c>
      <c r="E35" s="110">
        <v>80395.259999999995</v>
      </c>
      <c r="F35" s="110"/>
      <c r="G35" s="110"/>
      <c r="H35" s="110"/>
      <c r="I35" s="109"/>
      <c r="J35" s="109">
        <v>6.11</v>
      </c>
      <c r="K35" s="110">
        <v>6.11</v>
      </c>
      <c r="L35" s="110"/>
      <c r="M35" s="110"/>
      <c r="N35" s="110"/>
      <c r="O35" s="109"/>
      <c r="P35" s="109"/>
      <c r="Q35" s="110">
        <v>20237.469999999998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724926.83000000007</v>
      </c>
      <c r="AT35" s="113">
        <v>50207.199999999975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393503</v>
      </c>
      <c r="E37" s="118">
        <v>393502.19</v>
      </c>
      <c r="F37" s="118"/>
      <c r="G37" s="118"/>
      <c r="H37" s="118"/>
      <c r="I37" s="117"/>
      <c r="J37" s="117">
        <v>18</v>
      </c>
      <c r="K37" s="118">
        <v>17.75</v>
      </c>
      <c r="L37" s="118"/>
      <c r="M37" s="118"/>
      <c r="N37" s="118"/>
      <c r="O37" s="117"/>
      <c r="P37" s="117"/>
      <c r="Q37" s="118">
        <v>9.0000000000000011E-2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6421162</v>
      </c>
      <c r="AT37" s="119">
        <v>2720</v>
      </c>
      <c r="AU37" s="119"/>
      <c r="AV37" s="119"/>
      <c r="AW37" s="317"/>
    </row>
    <row r="38" spans="1:49" x14ac:dyDescent="0.2">
      <c r="B38" s="155" t="s">
        <v>255</v>
      </c>
      <c r="C38" s="62" t="s">
        <v>16</v>
      </c>
      <c r="D38" s="109">
        <v>57134</v>
      </c>
      <c r="E38" s="110">
        <v>57133.600000000006</v>
      </c>
      <c r="F38" s="110"/>
      <c r="G38" s="110"/>
      <c r="H38" s="110"/>
      <c r="I38" s="109"/>
      <c r="J38" s="109">
        <v>11</v>
      </c>
      <c r="K38" s="110">
        <v>11.41</v>
      </c>
      <c r="L38" s="110"/>
      <c r="M38" s="110"/>
      <c r="N38" s="110"/>
      <c r="O38" s="109"/>
      <c r="P38" s="109"/>
      <c r="Q38" s="110">
        <v>0.08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916820</v>
      </c>
      <c r="AT38" s="113">
        <v>281</v>
      </c>
      <c r="AU38" s="113"/>
      <c r="AV38" s="113"/>
      <c r="AW38" s="318"/>
    </row>
    <row r="39" spans="1:49" x14ac:dyDescent="0.2">
      <c r="B39" s="158" t="s">
        <v>256</v>
      </c>
      <c r="C39" s="62" t="s">
        <v>17</v>
      </c>
      <c r="D39" s="109">
        <v>130869</v>
      </c>
      <c r="E39" s="110">
        <v>130868.85999999999</v>
      </c>
      <c r="F39" s="110"/>
      <c r="G39" s="110"/>
      <c r="H39" s="110"/>
      <c r="I39" s="109"/>
      <c r="J39" s="109">
        <v>9</v>
      </c>
      <c r="K39" s="110">
        <v>9.39</v>
      </c>
      <c r="L39" s="110"/>
      <c r="M39" s="110"/>
      <c r="N39" s="110"/>
      <c r="O39" s="109"/>
      <c r="P39" s="109"/>
      <c r="Q39" s="110">
        <v>0.01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2396704</v>
      </c>
      <c r="AT39" s="113">
        <v>2340</v>
      </c>
      <c r="AU39" s="113"/>
      <c r="AV39" s="113"/>
      <c r="AW39" s="318"/>
    </row>
    <row r="40" spans="1:49" x14ac:dyDescent="0.2">
      <c r="B40" s="158" t="s">
        <v>257</v>
      </c>
      <c r="C40" s="62" t="s">
        <v>38</v>
      </c>
      <c r="D40" s="109">
        <v>548403</v>
      </c>
      <c r="E40" s="110">
        <v>548402.76</v>
      </c>
      <c r="F40" s="110"/>
      <c r="G40" s="110"/>
      <c r="H40" s="110"/>
      <c r="I40" s="109"/>
      <c r="J40" s="109">
        <v>151</v>
      </c>
      <c r="K40" s="110">
        <v>151.28</v>
      </c>
      <c r="L40" s="110"/>
      <c r="M40" s="110"/>
      <c r="N40" s="110"/>
      <c r="O40" s="109"/>
      <c r="P40" s="109"/>
      <c r="Q40" s="110">
        <v>0.01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8500621</v>
      </c>
      <c r="AT40" s="113">
        <v>12258</v>
      </c>
      <c r="AU40" s="113"/>
      <c r="AV40" s="113"/>
      <c r="AW40" s="318"/>
    </row>
    <row r="41" spans="1:49" s="5" customFormat="1" ht="25.5" x14ac:dyDescent="0.2">
      <c r="A41" s="35"/>
      <c r="B41" s="158" t="s">
        <v>258</v>
      </c>
      <c r="C41" s="62" t="s">
        <v>129</v>
      </c>
      <c r="D41" s="109">
        <v>150088</v>
      </c>
      <c r="E41" s="110">
        <v>150087.18000000002</v>
      </c>
      <c r="F41" s="110"/>
      <c r="G41" s="110"/>
      <c r="H41" s="110"/>
      <c r="I41" s="109"/>
      <c r="J41" s="109">
        <v>3</v>
      </c>
      <c r="K41" s="110">
        <v>3.4400000000000004</v>
      </c>
      <c r="L41" s="110"/>
      <c r="M41" s="110"/>
      <c r="N41" s="110"/>
      <c r="O41" s="109"/>
      <c r="P41" s="109"/>
      <c r="Q41" s="110">
        <v>0.41999999999999993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4469652</v>
      </c>
      <c r="AT41" s="113">
        <v>59793</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898432</v>
      </c>
      <c r="E44" s="118">
        <v>898432</v>
      </c>
      <c r="F44" s="118"/>
      <c r="G44" s="118"/>
      <c r="H44" s="118"/>
      <c r="I44" s="117"/>
      <c r="J44" s="117">
        <v>107</v>
      </c>
      <c r="K44" s="118">
        <v>107</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17664309</v>
      </c>
      <c r="AT44" s="119">
        <v>288418</v>
      </c>
      <c r="AU44" s="119"/>
      <c r="AV44" s="119"/>
      <c r="AW44" s="317"/>
    </row>
    <row r="45" spans="1:49" x14ac:dyDescent="0.2">
      <c r="B45" s="161" t="s">
        <v>262</v>
      </c>
      <c r="C45" s="62" t="s">
        <v>19</v>
      </c>
      <c r="D45" s="109">
        <v>1043171</v>
      </c>
      <c r="E45" s="110">
        <v>1043171</v>
      </c>
      <c r="F45" s="110"/>
      <c r="G45" s="110"/>
      <c r="H45" s="110"/>
      <c r="I45" s="109"/>
      <c r="J45" s="109">
        <v>195</v>
      </c>
      <c r="K45" s="110">
        <v>195</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18104853</v>
      </c>
      <c r="AT45" s="113">
        <v>211128</v>
      </c>
      <c r="AU45" s="113"/>
      <c r="AV45" s="113"/>
      <c r="AW45" s="318"/>
    </row>
    <row r="46" spans="1:49" x14ac:dyDescent="0.2">
      <c r="B46" s="161" t="s">
        <v>263</v>
      </c>
      <c r="C46" s="62" t="s">
        <v>20</v>
      </c>
      <c r="D46" s="109">
        <v>1192336</v>
      </c>
      <c r="E46" s="110">
        <v>1192336</v>
      </c>
      <c r="F46" s="110"/>
      <c r="G46" s="110"/>
      <c r="H46" s="110"/>
      <c r="I46" s="109"/>
      <c r="J46" s="109">
        <v>42</v>
      </c>
      <c r="K46" s="110">
        <v>42</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11477505</v>
      </c>
      <c r="AT46" s="113">
        <v>528064</v>
      </c>
      <c r="AU46" s="113"/>
      <c r="AV46" s="113"/>
      <c r="AW46" s="318"/>
    </row>
    <row r="47" spans="1:49" x14ac:dyDescent="0.2">
      <c r="B47" s="161" t="s">
        <v>264</v>
      </c>
      <c r="C47" s="62" t="s">
        <v>21</v>
      </c>
      <c r="D47" s="109">
        <v>3603731</v>
      </c>
      <c r="E47" s="110">
        <v>3603731</v>
      </c>
      <c r="F47" s="110"/>
      <c r="G47" s="110"/>
      <c r="H47" s="110"/>
      <c r="I47" s="109"/>
      <c r="J47" s="109">
        <v>9005</v>
      </c>
      <c r="K47" s="110">
        <v>9005</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23432398</v>
      </c>
      <c r="AT47" s="113">
        <v>3346053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297251.58620000008</v>
      </c>
      <c r="E49" s="110">
        <v>47273.084999999999</v>
      </c>
      <c r="F49" s="110"/>
      <c r="G49" s="110"/>
      <c r="H49" s="110"/>
      <c r="I49" s="109"/>
      <c r="J49" s="109">
        <v>1056.3223459999999</v>
      </c>
      <c r="K49" s="110">
        <v>1035.8023459999999</v>
      </c>
      <c r="L49" s="110"/>
      <c r="M49" s="110"/>
      <c r="N49" s="110"/>
      <c r="O49" s="109"/>
      <c r="P49" s="109">
        <v>0.16000000000000059</v>
      </c>
      <c r="Q49" s="110">
        <v>-3.07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1657295.5843000009</v>
      </c>
      <c r="AT49" s="113">
        <v>261031.61709999989</v>
      </c>
      <c r="AU49" s="113"/>
      <c r="AV49" s="113"/>
      <c r="AW49" s="318"/>
    </row>
    <row r="50" spans="2:49" ht="25.5" x14ac:dyDescent="0.2">
      <c r="B50" s="155" t="s">
        <v>266</v>
      </c>
      <c r="C50" s="62"/>
      <c r="D50" s="109">
        <v>4246.5600000000013</v>
      </c>
      <c r="E50" s="110">
        <v>4246.5600000000013</v>
      </c>
      <c r="F50" s="110"/>
      <c r="G50" s="110"/>
      <c r="H50" s="110"/>
      <c r="I50" s="109"/>
      <c r="J50" s="109">
        <v>0.33</v>
      </c>
      <c r="K50" s="110">
        <v>0.33</v>
      </c>
      <c r="L50" s="110"/>
      <c r="M50" s="110"/>
      <c r="N50" s="110"/>
      <c r="O50" s="109"/>
      <c r="P50" s="109">
        <v>0.05</v>
      </c>
      <c r="Q50" s="110">
        <v>0.05</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43881.619999999981</v>
      </c>
      <c r="AT50" s="113">
        <v>2341.2399999999993</v>
      </c>
      <c r="AU50" s="113"/>
      <c r="AV50" s="113"/>
      <c r="AW50" s="318"/>
    </row>
    <row r="51" spans="2:49" x14ac:dyDescent="0.2">
      <c r="B51" s="155" t="s">
        <v>267</v>
      </c>
      <c r="C51" s="62"/>
      <c r="D51" s="109">
        <v>8247156.0000000009</v>
      </c>
      <c r="E51" s="110">
        <v>8247156.0000000009</v>
      </c>
      <c r="F51" s="110"/>
      <c r="G51" s="110"/>
      <c r="H51" s="110"/>
      <c r="I51" s="109"/>
      <c r="J51" s="109">
        <v>21600</v>
      </c>
      <c r="K51" s="110">
        <v>21600</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74282482</v>
      </c>
      <c r="AT51" s="113">
        <v>609405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14003</v>
      </c>
      <c r="E56" s="122">
        <v>14230</v>
      </c>
      <c r="F56" s="122"/>
      <c r="G56" s="122"/>
      <c r="H56" s="122"/>
      <c r="I56" s="121"/>
      <c r="J56" s="121">
        <v>2</v>
      </c>
      <c r="K56" s="122"/>
      <c r="L56" s="122"/>
      <c r="M56" s="122"/>
      <c r="N56" s="122"/>
      <c r="O56" s="121"/>
      <c r="P56" s="121"/>
      <c r="Q56" s="122">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426654</v>
      </c>
      <c r="AT56" s="123">
        <v>215395</v>
      </c>
      <c r="AU56" s="123"/>
      <c r="AV56" s="123"/>
      <c r="AW56" s="309"/>
    </row>
    <row r="57" spans="2:49" x14ac:dyDescent="0.2">
      <c r="B57" s="161" t="s">
        <v>273</v>
      </c>
      <c r="C57" s="62" t="s">
        <v>25</v>
      </c>
      <c r="D57" s="124">
        <v>23562</v>
      </c>
      <c r="E57" s="125">
        <v>23978</v>
      </c>
      <c r="F57" s="125"/>
      <c r="G57" s="125"/>
      <c r="H57" s="125"/>
      <c r="I57" s="124"/>
      <c r="J57" s="124">
        <v>6</v>
      </c>
      <c r="K57" s="125"/>
      <c r="L57" s="125"/>
      <c r="M57" s="125"/>
      <c r="N57" s="125"/>
      <c r="O57" s="124"/>
      <c r="P57" s="124"/>
      <c r="Q57" s="125">
        <v>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426654</v>
      </c>
      <c r="AT57" s="126">
        <v>362581</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104</v>
      </c>
      <c r="AT58" s="126">
        <v>5949</v>
      </c>
      <c r="AU58" s="126"/>
      <c r="AV58" s="126"/>
      <c r="AW58" s="310"/>
    </row>
    <row r="59" spans="2:49" x14ac:dyDescent="0.2">
      <c r="B59" s="161" t="s">
        <v>275</v>
      </c>
      <c r="C59" s="62" t="s">
        <v>27</v>
      </c>
      <c r="D59" s="124">
        <v>339515</v>
      </c>
      <c r="E59" s="125">
        <v>340137</v>
      </c>
      <c r="F59" s="125"/>
      <c r="G59" s="125"/>
      <c r="H59" s="125"/>
      <c r="I59" s="124"/>
      <c r="J59" s="124">
        <v>23</v>
      </c>
      <c r="K59" s="125"/>
      <c r="L59" s="125"/>
      <c r="M59" s="125"/>
      <c r="N59" s="125"/>
      <c r="O59" s="124"/>
      <c r="P59" s="124"/>
      <c r="Q59" s="125">
        <v>23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5097345</v>
      </c>
      <c r="AT59" s="126">
        <v>3354004</v>
      </c>
      <c r="AU59" s="126"/>
      <c r="AV59" s="126"/>
      <c r="AW59" s="310"/>
    </row>
    <row r="60" spans="2:49" x14ac:dyDescent="0.2">
      <c r="B60" s="161" t="s">
        <v>276</v>
      </c>
      <c r="C60" s="62"/>
      <c r="D60" s="127">
        <f t="shared" ref="D60:AC60" si="0">D$59/12</f>
        <v>28292.916666666668</v>
      </c>
      <c r="E60" s="128">
        <f t="shared" si="0"/>
        <v>28344.75</v>
      </c>
      <c r="F60" s="128">
        <f t="shared" si="0"/>
        <v>0</v>
      </c>
      <c r="G60" s="128">
        <f t="shared" si="0"/>
        <v>0</v>
      </c>
      <c r="H60" s="128">
        <f t="shared" si="0"/>
        <v>0</v>
      </c>
      <c r="I60" s="127">
        <f t="shared" si="0"/>
        <v>0</v>
      </c>
      <c r="J60" s="127">
        <f t="shared" si="0"/>
        <v>1.9166666666666667</v>
      </c>
      <c r="K60" s="128">
        <f t="shared" si="0"/>
        <v>0</v>
      </c>
      <c r="L60" s="128">
        <f t="shared" si="0"/>
        <v>0</v>
      </c>
      <c r="M60" s="128">
        <f t="shared" si="0"/>
        <v>0</v>
      </c>
      <c r="N60" s="128">
        <f t="shared" si="0"/>
        <v>0</v>
      </c>
      <c r="O60" s="127">
        <f t="shared" si="0"/>
        <v>0</v>
      </c>
      <c r="P60" s="127">
        <f t="shared" si="0"/>
        <v>0</v>
      </c>
      <c r="Q60" s="128">
        <f t="shared" si="0"/>
        <v>1.9166666666666667</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424778.75</v>
      </c>
      <c r="AT60" s="129">
        <f>AT$59/12</f>
        <v>279500.33333333331</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61294620</v>
      </c>
      <c r="E5" s="118">
        <v>61957108.4500001</v>
      </c>
      <c r="F5" s="118"/>
      <c r="G5" s="130"/>
      <c r="H5" s="130"/>
      <c r="I5" s="117"/>
      <c r="J5" s="117">
        <v>5070</v>
      </c>
      <c r="K5" s="118"/>
      <c r="L5" s="118"/>
      <c r="M5" s="118"/>
      <c r="N5" s="118"/>
      <c r="O5" s="117"/>
      <c r="P5" s="117"/>
      <c r="Q5" s="118">
        <v>5078.88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1393093231</v>
      </c>
      <c r="AT5" s="119">
        <v>45289900</v>
      </c>
      <c r="AU5" s="119"/>
      <c r="AV5" s="312"/>
      <c r="AW5" s="317"/>
    </row>
    <row r="6" spans="2:49" x14ac:dyDescent="0.2">
      <c r="B6" s="176" t="s">
        <v>279</v>
      </c>
      <c r="C6" s="133" t="s">
        <v>8</v>
      </c>
      <c r="D6" s="109">
        <v>15101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166432.00000000003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470796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0.56000001169741154</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-0.4800000018440187</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-14355054</v>
      </c>
      <c r="AT11" s="113"/>
      <c r="AU11" s="113"/>
      <c r="AV11" s="311"/>
      <c r="AW11" s="318"/>
    </row>
    <row r="12" spans="2:49" x14ac:dyDescent="0.2">
      <c r="B12" s="176" t="s">
        <v>283</v>
      </c>
      <c r="C12" s="133" t="s">
        <v>44</v>
      </c>
      <c r="D12" s="109">
        <v>-3.9999990724027157E-2</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-12751033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525858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427146.34</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65884</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-98088</v>
      </c>
      <c r="AU19" s="113"/>
      <c r="AV19" s="311"/>
      <c r="AW19" s="318"/>
    </row>
    <row r="20" spans="2:49" s="5" customFormat="1" ht="25.5" x14ac:dyDescent="0.2">
      <c r="B20" s="178" t="s">
        <v>485</v>
      </c>
      <c r="C20" s="133"/>
      <c r="D20" s="109"/>
      <c r="E20" s="110">
        <v>23953.52</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43837744</v>
      </c>
      <c r="E23" s="288"/>
      <c r="F23" s="288"/>
      <c r="G23" s="288"/>
      <c r="H23" s="288"/>
      <c r="I23" s="292"/>
      <c r="J23" s="109">
        <v>13830</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1210292715</v>
      </c>
      <c r="AT23" s="113">
        <v>24051270</v>
      </c>
      <c r="AU23" s="113"/>
      <c r="AV23" s="311"/>
      <c r="AW23" s="318"/>
    </row>
    <row r="24" spans="2:49" ht="28.5" customHeight="1" x14ac:dyDescent="0.2">
      <c r="B24" s="178" t="s">
        <v>114</v>
      </c>
      <c r="C24" s="133"/>
      <c r="D24" s="293"/>
      <c r="E24" s="110">
        <v>45682993.274999999</v>
      </c>
      <c r="F24" s="110"/>
      <c r="G24" s="110"/>
      <c r="H24" s="110"/>
      <c r="I24" s="109"/>
      <c r="J24" s="293"/>
      <c r="K24" s="110"/>
      <c r="L24" s="110"/>
      <c r="M24" s="110"/>
      <c r="N24" s="110"/>
      <c r="O24" s="109"/>
      <c r="P24" s="293"/>
      <c r="Q24" s="110">
        <v>10686.019999999997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6707644</v>
      </c>
      <c r="E26" s="288"/>
      <c r="F26" s="288"/>
      <c r="G26" s="288"/>
      <c r="H26" s="288"/>
      <c r="I26" s="292"/>
      <c r="J26" s="109">
        <v>11474</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104916655</v>
      </c>
      <c r="AT26" s="113">
        <v>3289326</v>
      </c>
      <c r="AU26" s="113"/>
      <c r="AV26" s="311"/>
      <c r="AW26" s="318"/>
    </row>
    <row r="27" spans="2:49" s="5" customFormat="1" ht="25.5" x14ac:dyDescent="0.2">
      <c r="B27" s="178" t="s">
        <v>85</v>
      </c>
      <c r="C27" s="133"/>
      <c r="D27" s="293"/>
      <c r="E27" s="110">
        <v>899480.00100000121</v>
      </c>
      <c r="F27" s="110"/>
      <c r="G27" s="110"/>
      <c r="H27" s="110"/>
      <c r="I27" s="109"/>
      <c r="J27" s="293"/>
      <c r="K27" s="110"/>
      <c r="L27" s="110"/>
      <c r="M27" s="110"/>
      <c r="N27" s="110"/>
      <c r="O27" s="109"/>
      <c r="P27" s="293"/>
      <c r="Q27" s="110">
        <v>154.7195000000001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6322149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58877529</v>
      </c>
      <c r="AT28" s="113">
        <v>428473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226189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90397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16834480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16834480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18799843</v>
      </c>
      <c r="E36" s="110">
        <v>18799843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3112340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1480334</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3744057</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-14355054</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4333757.0000000009</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-12751033</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7540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97312</v>
      </c>
      <c r="E49" s="110">
        <v>448966.85</v>
      </c>
      <c r="F49" s="110"/>
      <c r="G49" s="110"/>
      <c r="H49" s="110"/>
      <c r="I49" s="109"/>
      <c r="J49" s="109">
        <v>3762</v>
      </c>
      <c r="K49" s="110"/>
      <c r="L49" s="110"/>
      <c r="M49" s="110"/>
      <c r="N49" s="110"/>
      <c r="O49" s="109"/>
      <c r="P49" s="109"/>
      <c r="Q49" s="110">
        <v>33.119999999999997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36034351</v>
      </c>
      <c r="AT49" s="113">
        <v>3</v>
      </c>
      <c r="AU49" s="113"/>
      <c r="AV49" s="311"/>
      <c r="AW49" s="318"/>
    </row>
    <row r="50" spans="2:49" x14ac:dyDescent="0.2">
      <c r="B50" s="176" t="s">
        <v>119</v>
      </c>
      <c r="C50" s="133" t="s">
        <v>34</v>
      </c>
      <c r="D50" s="109">
        <v>71801</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21835611</v>
      </c>
      <c r="AT50" s="113">
        <v>556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v>-6889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44755005</v>
      </c>
      <c r="E54" s="115">
        <f>E24+E27+E31+E35-E36+E39+E42+E45+E46-E49+E51+E52+E53</f>
        <v>44168143.425999999</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21542</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3918.6194999999952</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1242016954</v>
      </c>
      <c r="AT54" s="116">
        <f>AT23+AT26-AT28+AT30-AT32+AT34-AT36+AT38+AT41-AT43+AT45+AT46-AT47-AT49+AT50+AT51+AT52+AT53</f>
        <v>27048468</v>
      </c>
      <c r="AU54" s="116">
        <f>AU23+AU26-AU28+AU30-AU32+AU34-AU36+AU38+AU41-AU43+AU45+AU46-AU47-AU49+AU50+AU51+AU52+AU53</f>
        <v>0</v>
      </c>
      <c r="AV54" s="311"/>
      <c r="AW54" s="318"/>
    </row>
    <row r="55" spans="2:49" ht="25.5" x14ac:dyDescent="0.2">
      <c r="B55" s="181" t="s">
        <v>304</v>
      </c>
      <c r="C55" s="137" t="s">
        <v>28</v>
      </c>
      <c r="D55" s="114">
        <f t="shared" ref="D55:AC55" si="0">MIN(MAX(0,D56),MAX(0,D57))</f>
        <v>118618</v>
      </c>
      <c r="E55" s="115">
        <f t="shared" si="0"/>
        <v>118618</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118618</v>
      </c>
      <c r="E56" s="110">
        <v>118618</v>
      </c>
      <c r="F56" s="110"/>
      <c r="G56" s="110"/>
      <c r="H56" s="110"/>
      <c r="I56" s="109"/>
      <c r="J56" s="109">
        <v>24</v>
      </c>
      <c r="K56" s="110">
        <v>24</v>
      </c>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130312.00000000001</v>
      </c>
      <c r="E57" s="110">
        <v>130312.00000000001</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5235078</v>
      </c>
      <c r="AT57" s="113">
        <v>25136</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49092242.180000007</v>
      </c>
      <c r="D5" s="118">
        <v>44585997.268400006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49218248.340000011</v>
      </c>
      <c r="D6" s="110">
        <v>44275855.528400019</v>
      </c>
      <c r="E6" s="115">
        <f>SUM('Pt 1 Summary of Data'!E$12,'Pt 1 Summary of Data'!E$22)+SUM('Pt 1 Summary of Data'!G$12,'Pt 1 Summary of Data'!G$22)-SUM('Pt 1 Summary of Data'!H$12,'Pt 1 Summary of Data'!H$22)</f>
        <v>44286761.425999999</v>
      </c>
      <c r="F6" s="115">
        <f t="shared" ref="F6:F11" si="0">SUM(C6:E6)</f>
        <v>137780865.29440004</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3918.6194999999952</v>
      </c>
      <c r="P6" s="115">
        <f>SUM(M6:O6)</f>
        <v>3918.6194999999952</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1481377.7500000002</v>
      </c>
      <c r="D7" s="110">
        <v>1725766.7300000002</v>
      </c>
      <c r="E7" s="115">
        <f>SUM('Pt 1 Summary of Data'!E$37:E$41)+SUM('Pt 1 Summary of Data'!G$37:G$41)-SUM('Pt 1 Summary of Data'!H$37:H$41)+MAX(0,MIN('Pt 1 Summary of Data'!E$42+'Pt 1 Summary of Data'!G$42-'Pt 1 Summary of Data'!H$42,0.3%*('Pt 1 Summary of Data'!E$5+'Pt 1 Summary of Data'!G$5-'Pt 1 Summary of Data'!H$5-SUM(E$9:E$11))))</f>
        <v>1279994.5900000001</v>
      </c>
      <c r="F7" s="115">
        <f t="shared" si="0"/>
        <v>4487139.07</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193.26999999999998</v>
      </c>
      <c r="K7" s="115">
        <f>SUM(H7:J7)</f>
        <v>193.26999999999998</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0.61</v>
      </c>
      <c r="P7" s="115">
        <f>SUM(M7:O7)</f>
        <v>0.61</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525858</v>
      </c>
      <c r="F9" s="115">
        <f t="shared" si="0"/>
        <v>525858</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427146.34</v>
      </c>
      <c r="F10" s="115">
        <f t="shared" si="0"/>
        <v>427146.34</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50699626.090000011</v>
      </c>
      <c r="D12" s="115">
        <f>SUM(D$6:D$7)+IF(AND(OR('Company Information'!$C$12="District of Columbia",'Company Information'!$C$12="Massachusetts",'Company Information'!$C$12="Vermont"),SUM($C$6:$F$11,$C$15:$F$16,$C$37:$D$37)&lt;&gt;0),SUM(I$6:I$7),0)</f>
        <v>46001622.258400016</v>
      </c>
      <c r="E12" s="115">
        <f>SUM(E$6:E$7)-SUM(E$8:E$11)+IF(AND(OR('Company Information'!$C$12="District of Columbia",'Company Information'!$C$12="Massachusetts",'Company Information'!$C$12="Vermont"),SUM($C$6:$F$11,$C$15:$F$16,$C$37:$D$37)&lt;&gt;0),SUM(J$6:J$7)-SUM(J$10:J$11),0)</f>
        <v>44613751.675999999</v>
      </c>
      <c r="F12" s="115">
        <f>IFERROR(SUM(C$12:E$12)+C$17*MAX(0,E$49-C$49)+D$17*MAX(0,E$49-D$49),0)</f>
        <v>141315000.02440003</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193.26999999999998</v>
      </c>
      <c r="K12" s="115">
        <f>IFERROR(SUM(H$12:J$12)+H$17*MAX(0,J$49-H$49)+I$17*MAX(0,J$49-I$49),0)</f>
        <v>193.26999999999998</v>
      </c>
      <c r="L12" s="311"/>
      <c r="M12" s="114">
        <f>SUM(M$6:M$7)</f>
        <v>0</v>
      </c>
      <c r="N12" s="115">
        <f>SUM(N$6:N$7)</f>
        <v>0</v>
      </c>
      <c r="O12" s="115">
        <f>SUM(O$6:O$7)</f>
        <v>3919.2294999999954</v>
      </c>
      <c r="P12" s="115">
        <f>SUM(M$12:O$12)+M$17*MAX(0,O$49-M$49)+N$17*MAX(0,O$49-N$49)</f>
        <v>3919.2294999999954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77528759.489999995</v>
      </c>
      <c r="D15" s="118">
        <v>67554763.482418314</v>
      </c>
      <c r="E15" s="106">
        <f>SUM('Pt 1 Summary of Data'!E$5:E$7)+SUM('Pt 1 Summary of Data'!G$5:G$7)-SUM('Pt 1 Summary of Data'!H$5:H$7)-SUM(E$9:E$11)+D$55</f>
        <v>62606460.827581778</v>
      </c>
      <c r="F15" s="106">
        <f>SUM(C15:E15)</f>
        <v>207689983.80000007</v>
      </c>
      <c r="G15" s="107">
        <f>SUM('Pt 1 Summary of Data'!I$5:I$7)-SUM(G$9:G$10)</f>
        <v>0</v>
      </c>
      <c r="H15" s="117"/>
      <c r="I15" s="118"/>
      <c r="J15" s="106">
        <f>SUM('Pt 1 Summary of Data'!K$5:K$7)+SUM('Pt 1 Summary of Data'!M$5:M$7)-SUM('Pt 1 Summary of Data'!N$5:N$7)-SUM(J$10:J$11)+I$55</f>
        <v>-24</v>
      </c>
      <c r="K15" s="106">
        <f>SUM(H15:J15)</f>
        <v>-24</v>
      </c>
      <c r="L15" s="107">
        <f>SUM('Pt 1 Summary of Data'!O$5:O$7)-L$10</f>
        <v>0</v>
      </c>
      <c r="M15" s="117"/>
      <c r="N15" s="118"/>
      <c r="O15" s="106">
        <f>SUM('Pt 1 Summary of Data'!Q$5:Q$7)+SUM('Pt 1 Summary of Data'!S$5:S$7)-SUM('Pt 1 Summary of Data'!T$5:T$7)+N$55</f>
        <v>5078.88</v>
      </c>
      <c r="P15" s="106">
        <f>SUM(M15:O15)</f>
        <v>5078.88</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1942303.21</v>
      </c>
      <c r="D16" s="110">
        <v>4037656.1954282615</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3090110.5600717384</v>
      </c>
      <c r="F16" s="115">
        <f>SUM(C16:E16)</f>
        <v>9070069.9655000009</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-15853.331056000001</v>
      </c>
      <c r="K16" s="115">
        <f>SUM(H16:J16)</f>
        <v>-15853.331056000001</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3.2299999999959255</v>
      </c>
      <c r="P16" s="115">
        <f>SUM(M16:O16)</f>
        <v>3.2299999999959255</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75586456.280000001</v>
      </c>
      <c r="D17" s="115">
        <f>D$15-D$16+IF(AND(OR('Company Information'!$C$12="District of Columbia",'Company Information'!$C$12="Massachusetts",'Company Information'!$C$12="Vermont"),SUM($C$6:$F$11,$C$15:$F$16,$C$37:$D$37)&lt;&gt;0),I$15-I$16,0)</f>
        <v>63517107.286990054</v>
      </c>
      <c r="E17" s="115">
        <f>E$15-E$16+IF(AND(OR('Company Information'!$C$12="District of Columbia",'Company Information'!$C$12="Massachusetts",'Company Information'!$C$12="Vermont"),SUM($C$6:$F$11,$C$15:$F$16,$C$37:$D$37)&lt;&gt;0),J$15-J$16,0)</f>
        <v>59516350.267510042</v>
      </c>
      <c r="F17" s="115">
        <f>F$15-F$16+IF(AND(OR('Company Information'!$C$12="District of Columbia",'Company Information'!$C$12="Massachusetts",'Company Information'!$C$12="Vermont"),SUM($C$6:$F$11,$C$15:$F$16,$C$37:$D$37)&lt;&gt;0),K$15-K$16,0)</f>
        <v>198619913.83450007</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15829.331056000001</v>
      </c>
      <c r="K17" s="115">
        <f>K$15-K$16+IF(AND(OR('Company Information'!$C$12="District of Columbia",'Company Information'!$C$12="Massachusetts",'Company Information'!$C$12="Vermont"),SUM($H$6:$K$11,$H$15:$K$16,$H$37:$I$37)&lt;&gt;0),F$15-F$16,0)</f>
        <v>15829.331056000001</v>
      </c>
      <c r="L17" s="314"/>
      <c r="M17" s="114">
        <f>M$15-M$16</f>
        <v>0</v>
      </c>
      <c r="N17" s="115">
        <f>N$15-N$16</f>
        <v>0</v>
      </c>
      <c r="O17" s="115">
        <f>O$15-O$16</f>
        <v>5075.6500000000042</v>
      </c>
      <c r="P17" s="115">
        <f>P$15-P$16</f>
        <v>5075.6500000000042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40717.833333333336</v>
      </c>
      <c r="D37" s="122">
        <v>31650</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28344.75</v>
      </c>
      <c r="F37" s="256">
        <f>SUM(C$37:E$37)+IF(AND(OR('Company Information'!$C$12="District of Columbia",'Company Information'!$C$12="Massachusetts",'Company Information'!$C$12="Vermont"),SUM($C$6:$F$11,$C$15:$F$16,$C$37:$D$37)&lt;&gt;0,SUM(C$37:D$37)&lt;&gt;SUM(H$37:I$37)),SUM(H$37:I$37),0)</f>
        <v>100712.58333333334</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1.9166666666666667</v>
      </c>
      <c r="P37" s="256">
        <f>SUM(M$37:O$37)</f>
        <v>1.9166666666666667</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4409.4742836025207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1.34578195179896</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0.67075013944548445</v>
      </c>
      <c r="D44" s="260">
        <f>IF(OR(D$37&lt;1000,D$17&lt;=0),"",D$12/D$17)</f>
        <v>0.72423988155742625</v>
      </c>
      <c r="E44" s="260">
        <f>IF(OR(E$37&lt;1000,E$17&lt;=0),"",E$12/E$17)</f>
        <v>0.749604965282198</v>
      </c>
      <c r="F44" s="260">
        <f>IF(OR(F$37&lt;1000,F$17&lt;=0),"",F$12/F$17)</f>
        <v>0.71148455004441635</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IF(F$44="","",F$41)</f>
        <v>0</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IF(F$44="","",ROUND(F$44+MAX(0,F$46),3))</f>
        <v>0.71099999999999997</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2022</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0.71099999999999997</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59516350.267510042</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5296955.1738083987</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776500.37758168066</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46386.804571738561</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14230</v>
      </c>
      <c r="D4" s="149">
        <f>'Pt 1 Summary of Data'!$K$56+'Pt 1 Summary of Data'!$M$56-'Pt 1 Summary of Data'!$N$56</f>
        <v>0</v>
      </c>
      <c r="E4" s="149">
        <f>'Pt 1 Summary of Data'!$Q$56+'Pt 1 Summary of Data'!$S$56-'Pt 1 Summary of Data'!$T$56</f>
        <v>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19858</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116</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5296955.1738083987</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v>388.13</v>
      </c>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5296955.17</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3112338.2570625152</v>
      </c>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270070.49000000022</v>
      </c>
      <c r="D22" s="212"/>
      <c r="E22" s="212"/>
      <c r="F22" s="212"/>
      <c r="G22" s="212"/>
      <c r="H22" s="212"/>
      <c r="I22" s="359"/>
      <c r="J22" s="359"/>
      <c r="K22" s="368"/>
    </row>
    <row r="23" spans="2:12" s="5" customFormat="1" ht="100.15" customHeight="1" x14ac:dyDescent="0.2">
      <c r="B23" s="102" t="s">
        <v>212</v>
      </c>
      <c r="C23" s="381" t="s">
        <v>507</v>
      </c>
      <c r="D23" s="382"/>
      <c r="E23" s="382"/>
      <c r="F23" s="382"/>
      <c r="G23" s="382"/>
      <c r="H23" s="382"/>
      <c r="I23" s="382"/>
      <c r="J23" s="382"/>
      <c r="K23" s="383"/>
    </row>
    <row r="24" spans="2:12" s="5" customFormat="1" ht="100.15" customHeight="1" x14ac:dyDescent="0.2">
      <c r="B24" s="101" t="s">
        <v>213</v>
      </c>
      <c r="C24" s="384" t="s">
        <v>508</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2015-07-23T17:14:27Z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