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 i="16" l="1"/>
  <c r="H4" i="16"/>
  <c r="G4" i="16"/>
  <c r="F4" i="16"/>
  <c r="E4" i="16"/>
  <c r="D4" i="16"/>
  <c r="C4" i="16"/>
  <c r="AB52" i="10"/>
  <c r="H11" i="16" s="1"/>
  <c r="X52" i="10"/>
  <c r="G11" i="16" s="1"/>
  <c r="T52" i="10"/>
  <c r="F11" i="16" s="1"/>
  <c r="AN51" i="10"/>
  <c r="AB51" i="10"/>
  <c r="X51" i="10"/>
  <c r="T51" i="10"/>
  <c r="P51" i="10"/>
  <c r="AN45" i="10"/>
  <c r="AM45" i="10"/>
  <c r="AL45" i="10"/>
  <c r="AB45" i="10"/>
  <c r="AB46" i="10" s="1"/>
  <c r="AA45" i="10"/>
  <c r="Z45" i="10"/>
  <c r="Y45" i="10"/>
  <c r="X45" i="10"/>
  <c r="X47" i="10" s="1"/>
  <c r="X50" i="10" s="1"/>
  <c r="W45" i="10"/>
  <c r="V45" i="10"/>
  <c r="U45" i="10"/>
  <c r="T45" i="10"/>
  <c r="T46" i="10" s="1"/>
  <c r="S45" i="10"/>
  <c r="R45" i="10"/>
  <c r="Q45" i="10"/>
  <c r="N44" i="10"/>
  <c r="M44" i="10"/>
  <c r="AB41" i="10"/>
  <c r="X41" i="10"/>
  <c r="T41" i="10"/>
  <c r="P41" i="10"/>
  <c r="AN40" i="10"/>
  <c r="AB40" i="10"/>
  <c r="X40" i="10"/>
  <c r="T40" i="10"/>
  <c r="P40" i="10"/>
  <c r="K40" i="10"/>
  <c r="F40" i="10"/>
  <c r="AN38" i="10"/>
  <c r="AB38" i="10"/>
  <c r="X38" i="10"/>
  <c r="AN37" i="10"/>
  <c r="AM37" i="10"/>
  <c r="AN7" i="10" s="1"/>
  <c r="AB37" i="10"/>
  <c r="AA37" i="10"/>
  <c r="X37" i="10"/>
  <c r="W37" i="10"/>
  <c r="T37" i="10"/>
  <c r="S37" i="10"/>
  <c r="P37" i="10"/>
  <c r="O37" i="10"/>
  <c r="AM17" i="10"/>
  <c r="AL17" i="10"/>
  <c r="AB17" i="10"/>
  <c r="AA17" i="10"/>
  <c r="Z17" i="10"/>
  <c r="AB13" i="10" s="1"/>
  <c r="Y17" i="10"/>
  <c r="X17" i="10"/>
  <c r="W17" i="10"/>
  <c r="V17" i="10"/>
  <c r="X13" i="10" s="1"/>
  <c r="U17" i="10"/>
  <c r="T17" i="10"/>
  <c r="S17" i="10"/>
  <c r="R17" i="10"/>
  <c r="Q17" i="10"/>
  <c r="P17" i="10"/>
  <c r="O17" i="10"/>
  <c r="N17" i="10"/>
  <c r="M17" i="10"/>
  <c r="AN16" i="10"/>
  <c r="AM16" i="10"/>
  <c r="AB16" i="10"/>
  <c r="AA16" i="10"/>
  <c r="X16" i="10"/>
  <c r="V13" i="10" s="1"/>
  <c r="W16" i="10"/>
  <c r="T16" i="10"/>
  <c r="S16" i="10"/>
  <c r="Q13" i="10" s="1"/>
  <c r="P16" i="10"/>
  <c r="O16" i="10"/>
  <c r="L16" i="10"/>
  <c r="K16" i="10"/>
  <c r="J16" i="10"/>
  <c r="G16" i="10"/>
  <c r="F16" i="10"/>
  <c r="E16" i="10"/>
  <c r="AN15" i="10"/>
  <c r="AN17" i="10" s="1"/>
  <c r="AM15" i="10"/>
  <c r="AB15" i="10"/>
  <c r="AA15" i="10"/>
  <c r="X15" i="10"/>
  <c r="W15" i="10"/>
  <c r="T15" i="10"/>
  <c r="S15" i="10"/>
  <c r="S13" i="10" s="1"/>
  <c r="P15" i="10"/>
  <c r="O15" i="10"/>
  <c r="L15" i="10"/>
  <c r="AN13" i="10"/>
  <c r="AM13" i="10"/>
  <c r="AL13" i="10"/>
  <c r="AA13" i="10"/>
  <c r="Z13" i="10"/>
  <c r="Y13" i="10"/>
  <c r="W13" i="10"/>
  <c r="R13" i="10"/>
  <c r="N12" i="10"/>
  <c r="M12" i="10"/>
  <c r="K11" i="10"/>
  <c r="J11" i="10"/>
  <c r="E11" i="10"/>
  <c r="F11" i="10" s="1"/>
  <c r="L10" i="10"/>
  <c r="K10" i="10"/>
  <c r="J10" i="10"/>
  <c r="G10" i="10"/>
  <c r="E10" i="10"/>
  <c r="F10" i="10" s="1"/>
  <c r="G9" i="10"/>
  <c r="F9" i="10"/>
  <c r="E9" i="10"/>
  <c r="F8" i="10"/>
  <c r="AM7" i="10"/>
  <c r="AB7" i="10"/>
  <c r="AA7" i="10"/>
  <c r="X7" i="10"/>
  <c r="W7" i="10"/>
  <c r="T7" i="10"/>
  <c r="S7" i="10"/>
  <c r="P7" i="10"/>
  <c r="O7" i="10"/>
  <c r="L7" i="10"/>
  <c r="AM6" i="10"/>
  <c r="AB6" i="10"/>
  <c r="AA6" i="10"/>
  <c r="X6" i="10"/>
  <c r="W6" i="10"/>
  <c r="T6" i="10"/>
  <c r="S6" i="10"/>
  <c r="J6" i="10"/>
  <c r="K6" i="10" s="1"/>
  <c r="AU55" i="18"/>
  <c r="AU22" i="4" s="1"/>
  <c r="AT55" i="18"/>
  <c r="AT22" i="4" s="1"/>
  <c r="AS55" i="18"/>
  <c r="AS22" i="4" s="1"/>
  <c r="AR55" i="18"/>
  <c r="AR22" i="4" s="1"/>
  <c r="AQ55" i="18"/>
  <c r="AQ22" i="4" s="1"/>
  <c r="AP55" i="18"/>
  <c r="AO55" i="18"/>
  <c r="AO22" i="4" s="1"/>
  <c r="AN55" i="18"/>
  <c r="AC55" i="18"/>
  <c r="AC22" i="4" s="1"/>
  <c r="AB55" i="18"/>
  <c r="AA55" i="18"/>
  <c r="AA22" i="4" s="1"/>
  <c r="Z55" i="18"/>
  <c r="Z22" i="4" s="1"/>
  <c r="Y55" i="18"/>
  <c r="X55" i="18"/>
  <c r="W55" i="18"/>
  <c r="W22" i="4" s="1"/>
  <c r="V55" i="18"/>
  <c r="V22" i="4" s="1"/>
  <c r="U55" i="18"/>
  <c r="T22" i="4"/>
  <c r="S22" i="4"/>
  <c r="R22" i="4"/>
  <c r="Q22" i="4"/>
  <c r="O6" i="10" s="1"/>
  <c r="P22" i="4"/>
  <c r="O22" i="4"/>
  <c r="L6" i="10" s="1"/>
  <c r="M22" i="4"/>
  <c r="L22" i="4"/>
  <c r="K22" i="4"/>
  <c r="J22" i="4"/>
  <c r="H22" i="4"/>
  <c r="G22" i="4"/>
  <c r="F22" i="4"/>
  <c r="AU54" i="18"/>
  <c r="AU12" i="4" s="1"/>
  <c r="AT54" i="18"/>
  <c r="AT12" i="4" s="1"/>
  <c r="AS54" i="18"/>
  <c r="AS12" i="4" s="1"/>
  <c r="AR54" i="18"/>
  <c r="AR12" i="4" s="1"/>
  <c r="AQ54" i="18"/>
  <c r="AQ12" i="4" s="1"/>
  <c r="AP54" i="18"/>
  <c r="AO54" i="18"/>
  <c r="AO12" i="4" s="1"/>
  <c r="AN54" i="18"/>
  <c r="AN12" i="4" s="1"/>
  <c r="AC54" i="18"/>
  <c r="AC12" i="4" s="1"/>
  <c r="AB54" i="18"/>
  <c r="AB12" i="4" s="1"/>
  <c r="AA54" i="18"/>
  <c r="AA12" i="4" s="1"/>
  <c r="Z54" i="18"/>
  <c r="Z12" i="4" s="1"/>
  <c r="Y54" i="18"/>
  <c r="X54" i="18"/>
  <c r="X12" i="4" s="1"/>
  <c r="W54" i="18"/>
  <c r="V54" i="18"/>
  <c r="V12" i="4" s="1"/>
  <c r="U54" i="18"/>
  <c r="T54" i="18"/>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P22" i="4"/>
  <c r="AN22" i="4"/>
  <c r="AB22" i="4"/>
  <c r="Y22" i="4"/>
  <c r="X22" i="4"/>
  <c r="U22" i="4"/>
  <c r="N22" i="4"/>
  <c r="I22" i="4"/>
  <c r="G6" i="10" s="1"/>
  <c r="E22" i="4"/>
  <c r="E6" i="10" s="1"/>
  <c r="F6" i="10" s="1"/>
  <c r="D22" i="4"/>
  <c r="AP12" i="4"/>
  <c r="Y12" i="4"/>
  <c r="W12" i="4"/>
  <c r="U12" i="4"/>
  <c r="T12" i="4"/>
  <c r="AU5" i="4"/>
  <c r="AT5" i="4"/>
  <c r="AS5" i="4"/>
  <c r="AR5" i="4"/>
  <c r="AQ5" i="4"/>
  <c r="AP5" i="4"/>
  <c r="AO5" i="4"/>
  <c r="AN5" i="4"/>
  <c r="AC5" i="4"/>
  <c r="AB5" i="4"/>
  <c r="AA5" i="4"/>
  <c r="Z5" i="4"/>
  <c r="Y5" i="4"/>
  <c r="X5" i="4"/>
  <c r="W5" i="4"/>
  <c r="V5" i="4"/>
  <c r="U5" i="4"/>
  <c r="T5" i="4"/>
  <c r="S5" i="4"/>
  <c r="R5" i="4"/>
  <c r="Q5" i="4"/>
  <c r="P5" i="4"/>
  <c r="O5" i="4"/>
  <c r="N5" i="4"/>
  <c r="M5" i="4"/>
  <c r="L5" i="4"/>
  <c r="K5" i="4"/>
  <c r="J7" i="10" s="1"/>
  <c r="J5" i="4"/>
  <c r="I5" i="4"/>
  <c r="G15" i="10" s="1"/>
  <c r="H5" i="4"/>
  <c r="G5" i="4"/>
  <c r="F5" i="4"/>
  <c r="E5" i="4"/>
  <c r="D5" i="4"/>
  <c r="E15" i="10" l="1"/>
  <c r="L25" i="10"/>
  <c r="L29" i="10"/>
  <c r="L20" i="10"/>
  <c r="L28" i="10"/>
  <c r="L21" i="10"/>
  <c r="L19" i="10"/>
  <c r="L24" i="10" s="1"/>
  <c r="L23" i="10" s="1"/>
  <c r="L27" i="10" s="1"/>
  <c r="L31" i="10" s="1"/>
  <c r="L32" i="10" s="1"/>
  <c r="L33" i="10" s="1"/>
  <c r="O12" i="10"/>
  <c r="O44" i="10" s="1"/>
  <c r="P38" i="10" s="1"/>
  <c r="P6" i="10"/>
  <c r="P12" i="10"/>
  <c r="P44" i="10" s="1"/>
  <c r="K7" i="10"/>
  <c r="F15" i="10"/>
  <c r="J15" i="10"/>
  <c r="AB47" i="10"/>
  <c r="AB50" i="10" s="1"/>
  <c r="P46" i="10"/>
  <c r="P47" i="10" s="1"/>
  <c r="P50" i="10" s="1"/>
  <c r="E11" i="16" s="1"/>
  <c r="X46" i="10"/>
  <c r="T47" i="10"/>
  <c r="T50" i="10" s="1"/>
  <c r="T38" i="10"/>
  <c r="AN41" i="10"/>
  <c r="AN46" i="10" s="1"/>
  <c r="AN47" i="10" s="1"/>
  <c r="AN50" i="10" s="1"/>
  <c r="AN52" i="10" s="1"/>
  <c r="K11" i="16" s="1"/>
  <c r="AN6" i="10"/>
  <c r="T13" i="10"/>
  <c r="U13" i="10"/>
  <c r="E7" i="10"/>
  <c r="G7" i="10"/>
  <c r="L26" i="10" l="1"/>
  <c r="L30" i="10" s="1"/>
  <c r="K15" i="10"/>
  <c r="F7" i="10"/>
  <c r="C12" i="10" s="1"/>
  <c r="E37" i="10"/>
  <c r="D17" i="10"/>
  <c r="F17" i="10"/>
  <c r="I17" i="10"/>
  <c r="E17" i="10"/>
  <c r="G20" i="10"/>
  <c r="G28" i="10"/>
  <c r="G25" i="10"/>
  <c r="G19" i="10"/>
  <c r="G29" i="10"/>
  <c r="D12" i="10" l="1"/>
  <c r="D44" i="10" s="1"/>
  <c r="E12" i="10"/>
  <c r="E44" i="10" s="1"/>
  <c r="C17" i="10"/>
  <c r="G24" i="10"/>
  <c r="G23" i="10" s="1"/>
  <c r="G27" i="10" s="1"/>
  <c r="G31" i="10" s="1"/>
  <c r="G32" i="10" s="1"/>
  <c r="G33" i="10" s="1"/>
  <c r="K17" i="10"/>
  <c r="J37" i="10"/>
  <c r="H12" i="10"/>
  <c r="J12" i="10"/>
  <c r="I12" i="10"/>
  <c r="I44" i="10" s="1"/>
  <c r="C44" i="10"/>
  <c r="H17" i="10"/>
  <c r="H44" i="10" s="1"/>
  <c r="F37" i="10"/>
  <c r="J17" i="10"/>
  <c r="G21" i="10"/>
  <c r="F12" i="10" l="1"/>
  <c r="F44" i="10" s="1"/>
  <c r="J44" i="10"/>
  <c r="K37" i="10"/>
  <c r="F51" i="10"/>
  <c r="F41" i="10"/>
  <c r="F38" i="10"/>
  <c r="K12" i="10"/>
  <c r="K44" i="10" s="1"/>
  <c r="G26" i="10"/>
  <c r="G30" i="10" s="1"/>
  <c r="K41" i="10" l="1"/>
  <c r="K51" i="10"/>
  <c r="K38" i="10"/>
  <c r="K46" i="10"/>
  <c r="K47" i="10" s="1"/>
  <c r="K50" i="10" s="1"/>
  <c r="D11" i="16" s="1"/>
  <c r="F46" i="10"/>
  <c r="F47" i="10" s="1"/>
  <c r="F50" i="10" s="1"/>
  <c r="C11" i="16" s="1"/>
</calcChain>
</file>

<file path=xl/sharedStrings.xml><?xml version="1.0" encoding="utf-8"?>
<sst xmlns="http://schemas.openxmlformats.org/spreadsheetml/2006/main" count="638" uniqueCount="538">
  <si>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</si>
  <si>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</si>
  <si>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</si>
  <si>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</si>
  <si>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</si>
  <si>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</si>
  <si>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</si>
  <si>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</si>
  <si>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</si>
  <si>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</si>
  <si>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</si>
  <si>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</si>
  <si>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</si>
  <si>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</si>
  <si>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</si>
  <si>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</si>
  <si>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</si>
  <si>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</si>
  <si>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</si>
  <si>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</si>
  <si>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</si>
  <si>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</si>
  <si>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</si>
  <si>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</si>
  <si>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</si>
  <si>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</si>
  <si>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</si>
  <si>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</si>
  <si>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</si>
  <si>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</si>
  <si>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</si>
  <si>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</si>
  <si>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</si>
  <si>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</si>
  <si>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</si>
  <si>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</si>
  <si>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</si>
  <si>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</si>
  <si>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</si>
  <si>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</si>
  <si>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</si>
  <si>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</si>
  <si>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</si>
  <si>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</si>
  <si>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</si>
  <si>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</si>
  <si>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</si>
  <si>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</si>
  <si>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</si>
  <si>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</si>
  <si>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</si>
  <si>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</si>
  <si>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</si>
  <si>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</si>
  <si>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</si>
  <si>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</si>
  <si>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</si>
  <si>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</si>
  <si>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</si>
  <si>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</si>
  <si>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</si>
  <si>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</si>
  <si>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</si>
  <si>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</si>
  <si>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</si>
  <si>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</si>
  <si>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</si>
  <si>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</si>
  <si>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</si>
  <si>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</si>
  <si>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</si>
  <si>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</si>
  <si>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</si>
  <si>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</si>
  <si>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</si>
  <si>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</si>
  <si>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</si>
  <si>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</si>
  <si>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</si>
  <si>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</si>
  <si>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</si>
  <si>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</si>
  <si>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</si>
  <si>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</si>
  <si>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</si>
  <si>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</si>
  <si>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</si>
  <si>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</si>
  <si>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</si>
  <si>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</si>
  <si>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</si>
  <si>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</si>
  <si>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</si>
  <si>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</si>
  <si>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</si>
  <si>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</si>
  <si>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</si>
  <si>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</si>
  <si>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</si>
  <si>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</si>
  <si>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</si>
  <si>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</si>
  <si>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</si>
  <si>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</si>
  <si>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</si>
  <si>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</si>
  <si>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</si>
  <si>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</si>
  <si>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</si>
  <si>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</si>
  <si>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</si>
  <si>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</si>
  <si>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</si>
  <si>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</si>
  <si>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</si>
  <si>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</si>
  <si>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</si>
  <si>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</si>
  <si>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</si>
  <si>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</si>
  <si>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</si>
  <si>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</si>
  <si>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</si>
  <si>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</si>
  <si>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</si>
  <si>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</si>
  <si>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</si>
  <si>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</si>
  <si>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</si>
  <si>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</si>
  <si>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</si>
  <si>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</si>
  <si>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</si>
  <si>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</si>
  <si>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</si>
  <si>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</si>
  <si>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</si>
  <si>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</si>
  <si>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</si>
  <si>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</si>
  <si>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</si>
  <si>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</si>
  <si>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</si>
  <si>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</si>
  <si>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</si>
  <si>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</si>
  <si>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</si>
  <si>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</si>
  <si>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</si>
  <si>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</si>
  <si>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</si>
  <si>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</si>
  <si>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</si>
  <si>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</si>
  <si>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</si>
  <si>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</si>
  <si>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</si>
  <si>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</si>
  <si>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</si>
  <si>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</si>
  <si>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</si>
  <si>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</si>
  <si>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</si>
  <si>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</si>
  <si>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</si>
  <si>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</si>
  <si>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</si>
  <si>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</si>
  <si>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</si>
  <si>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</si>
  <si>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</si>
  <si>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</si>
  <si>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</si>
  <si>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</si>
  <si>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</si>
  <si>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</si>
  <si>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</si>
  <si>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</si>
  <si>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</si>
  <si>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</si>
  <si>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</si>
  <si>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</si>
  <si>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</si>
  <si>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</si>
  <si>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</si>
  <si>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</si>
  <si>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</si>
  <si>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</si>
  <si>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</si>
  <si>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</si>
  <si>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</si>
  <si>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</si>
  <si>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</si>
  <si>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</si>
  <si>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</si>
  <si>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</si>
  <si>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</si>
  <si>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</si>
  <si>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</si>
  <si>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</si>
  <si>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</si>
  <si>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</si>
  <si>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</si>
  <si>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</si>
  <si>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</si>
  <si>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</si>
  <si>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</si>
  <si>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</si>
  <si>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</si>
  <si>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</si>
  <si>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</si>
  <si>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</si>
  <si>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</si>
  <si>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</si>
  <si>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</si>
  <si>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</si>
  <si>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</si>
  <si>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</si>
  <si>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</si>
  <si>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</si>
  <si>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</si>
  <si>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</si>
  <si>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</si>
  <si>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</si>
  <si>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</si>
  <si>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</si>
  <si>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</si>
  <si>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</si>
  <si>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</si>
  <si>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</si>
  <si>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</si>
  <si>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</si>
  <si>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</si>
  <si>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</si>
  <si>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</si>
  <si>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</si>
  <si>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</si>
  <si>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</si>
  <si>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</si>
  <si>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</si>
  <si>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</si>
  <si>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</si>
  <si>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</si>
  <si>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</si>
  <si>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</si>
  <si>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</si>
  <si>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</si>
  <si>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</si>
  <si>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</si>
  <si>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</si>
  <si>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</si>
  <si>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</si>
  <si>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</si>
  <si>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</si>
  <si>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</si>
  <si>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</si>
  <si>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</si>
  <si>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</si>
  <si>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</si>
  <si>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</si>
  <si>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</si>
  <si>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</si>
  <si>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</si>
  <si>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</si>
  <si>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</si>
  <si>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</si>
  <si>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</si>
  <si>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</si>
  <si>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</si>
  <si>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</si>
  <si>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</si>
  <si>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</si>
  <si>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</si>
  <si>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</si>
  <si>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</si>
  <si>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</si>
  <si>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</si>
  <si>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</si>
  <si>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</si>
  <si>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</si>
  <si>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</si>
  <si>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</si>
  <si>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</si>
  <si>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</si>
  <si>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</si>
  <si>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</si>
  <si>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</si>
  <si>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</si>
  <si>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</si>
  <si>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</si>
  <si>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</si>
  <si>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</si>
  <si>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</si>
  <si>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</si>
  <si>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</si>
  <si>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</si>
  <si>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</si>
  <si>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</si>
  <si>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</si>
  <si>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</si>
  <si>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</si>
  <si>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</si>
  <si>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</si>
  <si>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</si>
  <si>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</si>
  <si>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</si>
  <si>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</si>
  <si>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</si>
  <si>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</si>
  <si>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</si>
  <si>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</si>
  <si>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</si>
  <si>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</si>
  <si>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</si>
  <si>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</si>
  <si>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</si>
  <si>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</si>
  <si>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</si>
  <si>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</si>
  <si>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</si>
  <si>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</si>
  <si>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</si>
  <si>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</si>
  <si>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</si>
  <si>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</si>
  <si>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</si>
  <si>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</si>
  <si>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</si>
  <si>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</si>
  <si>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</si>
  <si>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</si>
  <si>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</si>
  <si>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</si>
  <si>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</si>
  <si>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</si>
  <si>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</si>
  <si>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</si>
  <si>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</si>
  <si>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</si>
  <si>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</si>
  <si>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</si>
  <si>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</si>
  <si>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</si>
  <si>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</si>
  <si>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</si>
  <si>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</si>
  <si>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</si>
  <si>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</si>
  <si>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</si>
  <si>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</si>
  <si>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</si>
  <si>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</si>
  <si>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</si>
  <si>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</si>
  <si>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</si>
  <si>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</si>
  <si>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</si>
  <si>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</si>
  <si>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</si>
  <si>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</si>
  <si>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</si>
  <si>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</si>
  <si>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</si>
  <si>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</si>
  <si>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</si>
  <si>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</si>
  <si>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</si>
  <si>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</si>
  <si>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</si>
  <si>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</si>
  <si>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</si>
  <si>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</si>
  <si>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</si>
  <si>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</si>
  <si>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</si>
  <si>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</si>
  <si>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</si>
  <si>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</si>
  <si>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</si>
  <si>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</si>
  <si>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</si>
  <si>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</si>
  <si>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</si>
  <si>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</si>
  <si>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</si>
  <si>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</si>
  <si>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</si>
  <si>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</si>
  <si>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</si>
  <si>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</si>
  <si>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</si>
  <si>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</si>
  <si>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</si>
  <si>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</si>
  <si>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</si>
  <si>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</si>
  <si>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</si>
  <si>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</si>
  <si>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</si>
  <si>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</si>
  <si>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</si>
  <si>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</si>
  <si>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</si>
  <si>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</si>
  <si>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</si>
  <si>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</si>
  <si>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</si>
  <si>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</si>
  <si>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</si>
  <si>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</si>
  <si>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</si>
  <si>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</si>
  <si>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</si>
  <si>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</si>
  <si>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</si>
  <si>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</si>
  <si>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</si>
  <si>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</si>
  <si>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</si>
  <si>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</si>
  <si>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</si>
  <si>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</si>
  <si>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</si>
  <si>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</si>
  <si>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</si>
  <si>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</si>
  <si>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</si>
  <si>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</si>
  <si>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</si>
  <si>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</si>
  <si>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</si>
  <si>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</si>
  <si>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</si>
  <si>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</si>
  <si>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</si>
  <si>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</si>
  <si>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</si>
  <si>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</si>
  <si>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</si>
  <si>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</si>
  <si>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</si>
  <si>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</si>
  <si>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</si>
  <si>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</si>
  <si>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</si>
  <si>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</si>
  <si>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</si>
  <si>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</si>
  <si>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</si>
  <si>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</si>
  <si>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</si>
  <si>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</si>
  <si>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</si>
  <si>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</si>
  <si>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</si>
  <si>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</si>
  <si>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</si>
  <si>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</si>
  <si>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</si>
  <si>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</si>
  <si>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</si>
  <si>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</si>
  <si>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</si>
  <si>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</si>
  <si>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</si>
  <si>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</si>
  <si>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</si>
  <si>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</si>
  <si>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</si>
  <si>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</si>
  <si>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</si>
  <si>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</si>
  <si>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</si>
  <si>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</si>
  <si>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</si>
  <si>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</si>
  <si>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</si>
  <si>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</si>
  <si>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</si>
  <si>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</si>
  <si>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</si>
  <si>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</si>
  <si>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</si>
  <si>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</si>
  <si>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</si>
  <si>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</si>
  <si>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</si>
  <si>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</si>
  <si>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</si>
  <si>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</si>
  <si>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</si>
  <si>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</si>
  <si>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</si>
  <si>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</si>
  <si>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</si>
  <si>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</si>
  <si>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</si>
  <si>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</si>
  <si>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</si>
  <si>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</si>
  <si>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</si>
  <si>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</si>
  <si>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</si>
  <si>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219</t>
  </si>
  <si>
    <t>LINCOLN NATIONAL LIFE INSURANCE CO</t>
  </si>
  <si>
    <t>Humana Employers Health Plan of Georgia, Inc.</t>
  </si>
  <si>
    <t>Humana Health Insurance Company of Florida, Inc.</t>
  </si>
  <si>
    <t>Humana Health Plan of Ohio, Inc.</t>
  </si>
  <si>
    <t>Humana Health Plan of Texas, Inc.</t>
  </si>
  <si>
    <t>Humana Health Plan, Inc.</t>
  </si>
  <si>
    <t>Humana Insurance Company of Kentucky</t>
  </si>
  <si>
    <t>Humana Insurance of Puerto Rico, Inc.</t>
  </si>
  <si>
    <t>Humana Medical Plan,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</si>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</sst>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row>
    <row r="12" spans="1:6" x14ac:dyDescent="0.2">
      <c r="B12" s="233" t="s">
        <v>35</v>
      </c>
      <c r="C12" s="379" t="s">
        <v>149</v>
      </c>
    </row>
    <row r="13" spans="1:6" x14ac:dyDescent="0.2">
      <c r="B13" s="233" t="s">
        <v>50</v>
      </c>
      <c r="C13" s="379" t="s">
        <v>192</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6"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976360366</v>
      </c>
      <c r="E5" s="107">
        <f>SUM('Pt 2 Premium and Claims'!E$5,'Pt 2 Premium and Claims'!E$6,-'Pt 2 Premium and Claims'!E$7,-'Pt 2 Premium and Claims'!E$13,'Pt 2 Premium and Claims'!E$14:'Pt 2 Premium and Claims'!E$17)</f>
        <v>1038945318.3146343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328973547</v>
      </c>
      <c r="J5" s="106">
        <f>SUM('Pt 2 Premium and Claims'!J$5,'Pt 2 Premium and Claims'!J$6,-'Pt 2 Premium and Claims'!J$7,-'Pt 2 Premium and Claims'!J$13,'Pt 2 Premium and Claims'!J$14,'Pt 2 Premium and Claims'!J$16:'Pt 2 Premium and Claims'!J$17)</f>
        <v>1141793361</v>
      </c>
      <c r="K5" s="107">
        <f>SUM('Pt 2 Premium and Claims'!K$5,'Pt 2 Premium and Claims'!K$6,-'Pt 2 Premium and Claims'!K$7,-'Pt 2 Premium and Claims'!K$13,'Pt 2 Premium and Claims'!K$14,'Pt 2 Premium and Claims'!K$16:'Pt 2 Premium and Claims'!K$17)</f>
        <v>906382738.00985909</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536556107</v>
      </c>
      <c r="Q5" s="107">
        <f>SUM('Pt 2 Premium and Claims'!Q$5,'Pt 2 Premium and Claims'!Q$6,-'Pt 2 Premium and Claims'!Q$7,-'Pt 2 Premium and Claims'!Q$13,'Pt 2 Premium and Claims'!Q$14)</f>
        <v>458951672.34964746</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f>SUM('Pt 2 Premium and Claims'!AN$5,'Pt 2 Premium and Claims'!AN$6,-'Pt 2 Premium and Claims'!AN$7,-'Pt 2 Premium and Claims'!AN$13,'Pt 2 Premium and Claims'!AN$14)</f>
        <v>0</v>
      </c>
      <c r="AO5" s="107">
        <f>SUM('Pt 2 Premium and Claims'!AO$5,'Pt 2 Premium and Claims'!AO$6,-'Pt 2 Premium and Claims'!AO$7,-'Pt 2 Premium and Claims'!AO$13,'Pt 2 Premium and Claims'!AO$14)</f>
        <v>1445398.09</v>
      </c>
      <c r="AP5" s="107">
        <f>SUM('Pt 2 Premium and Claims'!AP$5,'Pt 2 Premium and Claims'!AP$6,-'Pt 2 Premium and Claims'!AP$7,-'Pt 2 Premium and Claims'!AP$13,'Pt 2 Premium and Claims'!AP$14)</f>
        <v>0</v>
      </c>
      <c r="AQ5" s="107">
        <f>SUM('Pt 2 Premium and Claims'!AQ$5,'Pt 2 Premium and Claims'!AQ$6,-'Pt 2 Premium and Claims'!AQ$7,-'Pt 2 Premium and Claims'!AQ$13,'Pt 2 Premium and Claims'!AQ$14)</f>
        <v>0</v>
      </c>
      <c r="AR5" s="107">
        <f>SUM('Pt 2 Premium and Claims'!AR$5,'Pt 2 Premium and Claims'!AR$6,-'Pt 2 Premium and Claims'!AR$7,-'Pt 2 Premium and Claims'!AR$13,'Pt 2 Premium and Claims'!AR$14)</f>
        <v>0</v>
      </c>
      <c r="AS5" s="106">
        <f>SUM('Pt 2 Premium and Claims'!AS$5,'Pt 2 Premium and Claims'!AS$6,-'Pt 2 Premium and Claims'!AS$7,-'Pt 2 Premium and Claims'!AS$13,'Pt 2 Premium and Claims'!AS$14)</f>
        <v>19250892868</v>
      </c>
      <c r="AT5" s="108">
        <f>SUM('Pt 2 Premium and Claims'!AT$5,'Pt 2 Premium and Claims'!AT$6,-'Pt 2 Premium and Claims'!AT$7,-'Pt 2 Premium and Claims'!AT$13,'Pt 2 Premium and Claims'!AT$14)</f>
        <v>484496906</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-1232147</v>
      </c>
      <c r="E7" s="111">
        <v>-1195550.8219000613</v>
      </c>
      <c r="F7" s="111"/>
      <c r="G7" s="111"/>
      <c r="H7" s="111"/>
      <c r="I7" s="110"/>
      <c r="J7" s="110">
        <v>-2009025</v>
      </c>
      <c r="K7" s="111">
        <v>-1623415.8874445851</v>
      </c>
      <c r="L7" s="111"/>
      <c r="M7" s="111"/>
      <c r="N7" s="111"/>
      <c r="O7" s="110"/>
      <c r="P7" s="110">
        <v>-1652300</v>
      </c>
      <c r="Q7" s="111">
        <v>-1262267.9600602558</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-177911</v>
      </c>
      <c r="AU7" s="114"/>
      <c r="AV7" s="312"/>
      <c r="AW7" s="319"/>
    </row>
    <row r="8" spans="1:49" ht="25.5" x14ac:dyDescent="0.2">
      <c r="B8" s="156" t="s">
        <v>225</v>
      </c>
      <c r="C8" s="63" t="s">
        <v>59</v>
      </c>
      <c r="D8" s="110">
        <v>-5730259</v>
      </c>
      <c r="E8" s="290"/>
      <c r="F8" s="291"/>
      <c r="G8" s="291"/>
      <c r="H8" s="291"/>
      <c r="I8" s="294"/>
      <c r="J8" s="110">
        <v>-1819867</v>
      </c>
      <c r="K8" s="290"/>
      <c r="L8" s="291"/>
      <c r="M8" s="291"/>
      <c r="N8" s="291"/>
      <c r="O8" s="294"/>
      <c r="P8" s="110">
        <v>-683663</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-15503505</v>
      </c>
      <c r="AT8" s="114">
        <v>-26130952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883005331</v>
      </c>
      <c r="E12" s="107">
        <f>'Pt 2 Premium and Claims'!E$54</f>
        <v>882045229.57649958</v>
      </c>
      <c r="F12" s="107">
        <f>'Pt 2 Premium and Claims'!F$54</f>
        <v>0</v>
      </c>
      <c r="G12" s="107">
        <f>'Pt 2 Premium and Claims'!G$54</f>
        <v>0</v>
      </c>
      <c r="H12" s="107">
        <f>'Pt 2 Premium and Claims'!H$54</f>
        <v>0</v>
      </c>
      <c r="I12" s="106">
        <f>'Pt 2 Premium and Claims'!I$54</f>
        <v>333902983</v>
      </c>
      <c r="J12" s="106">
        <f>'Pt 2 Premium and Claims'!J$54</f>
        <v>864241256</v>
      </c>
      <c r="K12" s="107">
        <f>'Pt 2 Premium and Claims'!K$54</f>
        <v>692561080.99031734</v>
      </c>
      <c r="L12" s="107">
        <f>'Pt 2 Premium and Claims'!L$54</f>
        <v>0</v>
      </c>
      <c r="M12" s="107">
        <f>'Pt 2 Premium and Claims'!M$54</f>
        <v>0</v>
      </c>
      <c r="N12" s="107">
        <f>'Pt 2 Premium and Claims'!N$54</f>
        <v>0</v>
      </c>
      <c r="O12" s="106">
        <f>'Pt 2 Premium and Claims'!O$54</f>
        <v>0</v>
      </c>
      <c r="P12" s="106">
        <f>'Pt 2 Premium and Claims'!P$54</f>
        <v>473511746</v>
      </c>
      <c r="Q12" s="107">
        <f>'Pt 2 Premium and Claims'!Q$54</f>
        <v>377581667.0407486</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f>'Pt 2 Premium and Claims'!AN$54</f>
        <v>0</v>
      </c>
      <c r="AO12" s="107">
        <f>'Pt 2 Premium and Claims'!AO$54</f>
        <v>1631252.8721</v>
      </c>
      <c r="AP12" s="107">
        <f>'Pt 2 Premium and Claims'!AP$54</f>
        <v>0</v>
      </c>
      <c r="AQ12" s="107">
        <f>'Pt 2 Premium and Claims'!AQ$54</f>
        <v>0</v>
      </c>
      <c r="AR12" s="107">
        <f>'Pt 2 Premium and Claims'!AR$54</f>
        <v>0</v>
      </c>
      <c r="AS12" s="106">
        <f>'Pt 2 Premium and Claims'!AS$54</f>
        <v>16114937502</v>
      </c>
      <c r="AT12" s="108">
        <f>'Pt 2 Premium and Claims'!AT$54</f>
        <v>335251211</v>
      </c>
      <c r="AU12" s="108">
        <f>'Pt 2 Premium and Claims'!AU$54</f>
        <v>0</v>
      </c>
      <c r="AV12" s="313"/>
      <c r="AW12" s="318"/>
    </row>
    <row r="13" spans="1:49" ht="25.5" x14ac:dyDescent="0.2">
      <c r="B13" s="156" t="s">
        <v>230</v>
      </c>
      <c r="C13" s="63" t="s">
        <v>37</v>
      </c>
      <c r="D13" s="110">
        <v>90039048</v>
      </c>
      <c r="E13" s="111">
        <v>93628683.090000004</v>
      </c>
      <c r="F13" s="111"/>
      <c r="G13" s="290"/>
      <c r="H13" s="291"/>
      <c r="I13" s="110">
        <v>35011124</v>
      </c>
      <c r="J13" s="110">
        <v>122885306</v>
      </c>
      <c r="K13" s="111">
        <v>123813272.7081807</v>
      </c>
      <c r="L13" s="111"/>
      <c r="M13" s="290"/>
      <c r="N13" s="291"/>
      <c r="O13" s="110"/>
      <c r="P13" s="110">
        <v>62173888</v>
      </c>
      <c r="Q13" s="111">
        <v>61921408.791819245</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v>215592.87</v>
      </c>
      <c r="AP13" s="111"/>
      <c r="AQ13" s="290"/>
      <c r="AR13" s="291"/>
      <c r="AS13" s="110">
        <v>5119985658</v>
      </c>
      <c r="AT13" s="114">
        <v>637044</v>
      </c>
      <c r="AU13" s="114"/>
      <c r="AV13" s="312"/>
      <c r="AW13" s="319"/>
    </row>
    <row r="14" spans="1:49" ht="25.5" x14ac:dyDescent="0.2">
      <c r="B14" s="156" t="s">
        <v>231</v>
      </c>
      <c r="C14" s="63" t="s">
        <v>6</v>
      </c>
      <c r="D14" s="110">
        <v>7279597</v>
      </c>
      <c r="E14" s="111">
        <v>7117150.0099999998</v>
      </c>
      <c r="F14" s="111"/>
      <c r="G14" s="289"/>
      <c r="H14" s="292"/>
      <c r="I14" s="110">
        <v>1826877</v>
      </c>
      <c r="J14" s="110">
        <v>13004760</v>
      </c>
      <c r="K14" s="111">
        <v>12786496.213251278</v>
      </c>
      <c r="L14" s="111"/>
      <c r="M14" s="289"/>
      <c r="N14" s="292"/>
      <c r="O14" s="110"/>
      <c r="P14" s="110">
        <v>6035206</v>
      </c>
      <c r="Q14" s="111">
        <v>5948122.9067487195</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v>20567.759999999998</v>
      </c>
      <c r="AP14" s="111"/>
      <c r="AQ14" s="289"/>
      <c r="AR14" s="292"/>
      <c r="AS14" s="110">
        <v>1370909124</v>
      </c>
      <c r="AT14" s="114">
        <v>11937</v>
      </c>
      <c r="AU14" s="114"/>
      <c r="AV14" s="312"/>
      <c r="AW14" s="319"/>
    </row>
    <row r="15" spans="1:49" ht="38.25" x14ac:dyDescent="0.2">
      <c r="B15" s="156" t="s">
        <v>232</v>
      </c>
      <c r="C15" s="63" t="s">
        <v>7</v>
      </c>
      <c r="D15" s="110">
        <v>33805</v>
      </c>
      <c r="E15" s="111">
        <v>33805</v>
      </c>
      <c r="F15" s="111"/>
      <c r="G15" s="289"/>
      <c r="H15" s="295"/>
      <c r="I15" s="110">
        <v>12273</v>
      </c>
      <c r="J15" s="110">
        <v>39765</v>
      </c>
      <c r="K15" s="111">
        <v>39765</v>
      </c>
      <c r="L15" s="111"/>
      <c r="M15" s="289"/>
      <c r="N15" s="295"/>
      <c r="O15" s="110"/>
      <c r="P15" s="110">
        <v>16536</v>
      </c>
      <c r="Q15" s="111">
        <v>16536</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624382</v>
      </c>
      <c r="AT15" s="114">
        <v>26291</v>
      </c>
      <c r="AU15" s="114"/>
      <c r="AV15" s="312"/>
      <c r="AW15" s="319"/>
    </row>
    <row r="16" spans="1:49" ht="25.5" x14ac:dyDescent="0.2">
      <c r="B16" s="156" t="s">
        <v>233</v>
      </c>
      <c r="C16" s="63" t="s">
        <v>61</v>
      </c>
      <c r="D16" s="110">
        <v>-113085727</v>
      </c>
      <c r="E16" s="290"/>
      <c r="F16" s="291"/>
      <c r="G16" s="292"/>
      <c r="H16" s="292"/>
      <c r="I16" s="294"/>
      <c r="J16" s="110">
        <v>-1583247</v>
      </c>
      <c r="K16" s="290"/>
      <c r="L16" s="291"/>
      <c r="M16" s="292"/>
      <c r="N16" s="292"/>
      <c r="O16" s="294"/>
      <c r="P16" s="110">
        <v>-4929489</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-1629150</v>
      </c>
      <c r="AT16" s="114">
        <v>-15892372</v>
      </c>
      <c r="AU16" s="114"/>
      <c r="AV16" s="312"/>
      <c r="AW16" s="319"/>
    </row>
    <row r="17" spans="1:49" x14ac:dyDescent="0.2">
      <c r="B17" s="156" t="s">
        <v>234</v>
      </c>
      <c r="C17" s="63" t="s">
        <v>62</v>
      </c>
      <c r="D17" s="110">
        <v>-5182096</v>
      </c>
      <c r="E17" s="289"/>
      <c r="F17" s="292"/>
      <c r="G17" s="292"/>
      <c r="H17" s="292"/>
      <c r="I17" s="293"/>
      <c r="J17" s="110">
        <v>381988</v>
      </c>
      <c r="K17" s="289"/>
      <c r="L17" s="292"/>
      <c r="M17" s="292"/>
      <c r="N17" s="292"/>
      <c r="O17" s="293"/>
      <c r="P17" s="110">
        <v>1633328</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-5280001</v>
      </c>
      <c r="AU17" s="114"/>
      <c r="AV17" s="312"/>
      <c r="AW17" s="319"/>
    </row>
    <row r="18" spans="1:49" x14ac:dyDescent="0.2">
      <c r="B18" s="156" t="s">
        <v>235</v>
      </c>
      <c r="C18" s="63" t="s">
        <v>63</v>
      </c>
      <c r="D18" s="110">
        <v>7283503</v>
      </c>
      <c r="E18" s="289"/>
      <c r="F18" s="292"/>
      <c r="G18" s="292"/>
      <c r="H18" s="295"/>
      <c r="I18" s="293"/>
      <c r="J18" s="110">
        <v>7182871</v>
      </c>
      <c r="K18" s="289"/>
      <c r="L18" s="292"/>
      <c r="M18" s="292"/>
      <c r="N18" s="295"/>
      <c r="O18" s="293"/>
      <c r="P18" s="110">
        <v>1051188</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v>15882282</v>
      </c>
      <c r="E19" s="289"/>
      <c r="F19" s="292"/>
      <c r="G19" s="292"/>
      <c r="H19" s="292"/>
      <c r="I19" s="293"/>
      <c r="J19" s="110">
        <v>13297330</v>
      </c>
      <c r="K19" s="289"/>
      <c r="L19" s="292"/>
      <c r="M19" s="292"/>
      <c r="N19" s="292"/>
      <c r="O19" s="293"/>
      <c r="P19" s="110">
        <v>3416963</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v>13309270</v>
      </c>
      <c r="E20" s="289"/>
      <c r="F20" s="292"/>
      <c r="G20" s="292"/>
      <c r="H20" s="292"/>
      <c r="I20" s="293"/>
      <c r="J20" s="110">
        <v>8956436</v>
      </c>
      <c r="K20" s="289"/>
      <c r="L20" s="292"/>
      <c r="M20" s="292"/>
      <c r="N20" s="292"/>
      <c r="O20" s="293"/>
      <c r="P20" s="110">
        <v>1574086</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1163395</v>
      </c>
      <c r="E22" s="116">
        <f>'Pt 2 Premium and Claims'!E$55</f>
        <v>1125510.75</v>
      </c>
      <c r="F22" s="116">
        <f>'Pt 2 Premium and Claims'!F$55</f>
        <v>0</v>
      </c>
      <c r="G22" s="116">
        <f>'Pt 2 Premium and Claims'!G$55</f>
        <v>0</v>
      </c>
      <c r="H22" s="116">
        <f>'Pt 2 Premium and Claims'!H$55</f>
        <v>0</v>
      </c>
      <c r="I22" s="115">
        <f>'Pt 2 Premium and Claims'!I$55</f>
        <v>82942</v>
      </c>
      <c r="J22" s="115">
        <f>'Pt 2 Premium and Claims'!J$55</f>
        <v>1449028</v>
      </c>
      <c r="K22" s="116">
        <f>'Pt 2 Premium and Claims'!K$55</f>
        <v>1429933.38</v>
      </c>
      <c r="L22" s="116">
        <f>'Pt 2 Premium and Claims'!L$55</f>
        <v>0</v>
      </c>
      <c r="M22" s="116">
        <f>'Pt 2 Premium and Claims'!M$55</f>
        <v>0</v>
      </c>
      <c r="N22" s="116">
        <f>'Pt 2 Premium and Claims'!N$55</f>
        <v>0</v>
      </c>
      <c r="O22" s="115">
        <f>'Pt 2 Premium and Claims'!O$55</f>
        <v>0</v>
      </c>
      <c r="P22" s="115">
        <f>'Pt 2 Premium and Claims'!P$55</f>
        <v>849871</v>
      </c>
      <c r="Q22" s="116">
        <f>'Pt 2 Premium and Claims'!Q$55</f>
        <v>827631.94</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f>'Pt 2 Premium and Claims'!AN$55</f>
        <v>0</v>
      </c>
      <c r="AO22" s="116">
        <f>'Pt 2 Premium and Claims'!AO$55</f>
        <v>0</v>
      </c>
      <c r="AP22" s="116">
        <f>'Pt 2 Premium and Claims'!AP$55</f>
        <v>0</v>
      </c>
      <c r="AQ22" s="116">
        <f>'Pt 2 Premium and Claims'!AQ$55</f>
        <v>0</v>
      </c>
      <c r="AR22" s="116">
        <f>'Pt 2 Premium and Claims'!AR$55</f>
        <v>0</v>
      </c>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-7617143.2723900005</v>
      </c>
      <c r="E25" s="111">
        <v>-12413049.733941816</v>
      </c>
      <c r="F25" s="111"/>
      <c r="G25" s="111"/>
      <c r="H25" s="111"/>
      <c r="I25" s="110">
        <v>2854816</v>
      </c>
      <c r="J25" s="110">
        <v>27872335.428636707</v>
      </c>
      <c r="K25" s="111">
        <v>18827575.77596058</v>
      </c>
      <c r="L25" s="111"/>
      <c r="M25" s="111"/>
      <c r="N25" s="111"/>
      <c r="O25" s="110"/>
      <c r="P25" s="110">
        <v>-8233644.9838562813</v>
      </c>
      <c r="Q25" s="111">
        <v>-5709418.0936823422</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v>-4801.191437092948</v>
      </c>
      <c r="AP25" s="111"/>
      <c r="AQ25" s="111"/>
      <c r="AR25" s="111"/>
      <c r="AS25" s="110">
        <v>265917113.51052299</v>
      </c>
      <c r="AT25" s="114">
        <v>13926467.195712514</v>
      </c>
      <c r="AU25" s="114"/>
      <c r="AV25" s="114"/>
      <c r="AW25" s="319"/>
    </row>
    <row r="26" spans="1:49" s="6" customFormat="1" x14ac:dyDescent="0.2">
      <c r="A26" s="36"/>
      <c r="B26" s="159" t="s">
        <v>243</v>
      </c>
      <c r="C26" s="63"/>
      <c r="D26" s="110"/>
      <c r="E26" s="111">
        <v>701474.02692315052</v>
      </c>
      <c r="F26" s="111"/>
      <c r="G26" s="111"/>
      <c r="H26" s="111"/>
      <c r="I26" s="110">
        <v>117613</v>
      </c>
      <c r="J26" s="110"/>
      <c r="K26" s="111">
        <v>436355.67024863616</v>
      </c>
      <c r="L26" s="111"/>
      <c r="M26" s="111"/>
      <c r="N26" s="111"/>
      <c r="O26" s="110"/>
      <c r="P26" s="110"/>
      <c r="Q26" s="111">
        <v>205290.01043098731</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12200154.909999998</v>
      </c>
      <c r="E27" s="111">
        <v>11719768.72922162</v>
      </c>
      <c r="F27" s="111"/>
      <c r="G27" s="111"/>
      <c r="H27" s="111"/>
      <c r="I27" s="110">
        <v>3622396</v>
      </c>
      <c r="J27" s="110">
        <v>14319126.99</v>
      </c>
      <c r="K27" s="111">
        <v>11530014.03173947</v>
      </c>
      <c r="L27" s="111"/>
      <c r="M27" s="111"/>
      <c r="N27" s="111"/>
      <c r="O27" s="110"/>
      <c r="P27" s="110">
        <v>6424750.1700000018</v>
      </c>
      <c r="Q27" s="111">
        <v>5284347.6018124763</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238918824.43000001</v>
      </c>
      <c r="AT27" s="114">
        <v>1863873.7900000003</v>
      </c>
      <c r="AU27" s="114"/>
      <c r="AV27" s="315"/>
      <c r="AW27" s="319"/>
    </row>
    <row r="28" spans="1:49" s="6" customFormat="1" x14ac:dyDescent="0.2">
      <c r="A28" s="36"/>
      <c r="B28" s="159" t="s">
        <v>245</v>
      </c>
      <c r="C28" s="63"/>
      <c r="D28" s="110">
        <v>18798590.27</v>
      </c>
      <c r="E28" s="111">
        <v>3346855.7245105491</v>
      </c>
      <c r="F28" s="111"/>
      <c r="G28" s="111"/>
      <c r="H28" s="111"/>
      <c r="I28" s="110">
        <v>530835</v>
      </c>
      <c r="J28" s="110">
        <v>16531093.93</v>
      </c>
      <c r="K28" s="111">
        <v>1787719.3012905745</v>
      </c>
      <c r="L28" s="111"/>
      <c r="M28" s="111"/>
      <c r="N28" s="111"/>
      <c r="O28" s="110"/>
      <c r="P28" s="110">
        <v>8006898.7099999972</v>
      </c>
      <c r="Q28" s="111">
        <v>863072.2400614135</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1125713.4300000002</v>
      </c>
      <c r="AT28" s="114">
        <v>188431.92000000007</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-655048.31534461863</v>
      </c>
      <c r="E30" s="111">
        <v>-364749.74611224182</v>
      </c>
      <c r="F30" s="111"/>
      <c r="G30" s="111"/>
      <c r="H30" s="111"/>
      <c r="I30" s="110">
        <v>300701</v>
      </c>
      <c r="J30" s="110">
        <v>2206180.8016061108</v>
      </c>
      <c r="K30" s="111">
        <v>1581356.4828320327</v>
      </c>
      <c r="L30" s="111"/>
      <c r="M30" s="111"/>
      <c r="N30" s="111"/>
      <c r="O30" s="110"/>
      <c r="P30" s="110">
        <v>-466264.53113039274</v>
      </c>
      <c r="Q30" s="111">
        <v>-213996.90441017933</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21328782.985346898</v>
      </c>
      <c r="AT30" s="114">
        <v>1106336.4679398185</v>
      </c>
      <c r="AU30" s="114"/>
      <c r="AV30" s="114"/>
      <c r="AW30" s="319"/>
    </row>
    <row r="31" spans="1:49" x14ac:dyDescent="0.2">
      <c r="B31" s="159" t="s">
        <v>248</v>
      </c>
      <c r="C31" s="63"/>
      <c r="D31" s="110">
        <v>11643815.048799995</v>
      </c>
      <c r="E31" s="111">
        <v>10616109.671742635</v>
      </c>
      <c r="F31" s="111"/>
      <c r="G31" s="111"/>
      <c r="H31" s="111"/>
      <c r="I31" s="110">
        <v>3331127</v>
      </c>
      <c r="J31" s="110">
        <v>12158169.0054</v>
      </c>
      <c r="K31" s="111">
        <v>8564026.4877718687</v>
      </c>
      <c r="L31" s="111"/>
      <c r="M31" s="111"/>
      <c r="N31" s="111"/>
      <c r="O31" s="110"/>
      <c r="P31" s="110">
        <v>4461859.9907999989</v>
      </c>
      <c r="Q31" s="111">
        <v>3129225.8065365134</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3391.84</v>
      </c>
      <c r="AT31" s="114">
        <v>6661784.2999999998</v>
      </c>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v>21150155.847388133</v>
      </c>
      <c r="F34" s="111"/>
      <c r="G34" s="111"/>
      <c r="H34" s="111"/>
      <c r="I34" s="110">
        <v>2834133</v>
      </c>
      <c r="J34" s="110"/>
      <c r="K34" s="111">
        <v>12890884.333816065</v>
      </c>
      <c r="L34" s="111"/>
      <c r="M34" s="111"/>
      <c r="N34" s="111"/>
      <c r="O34" s="110"/>
      <c r="P34" s="110"/>
      <c r="Q34" s="111">
        <v>6373770.2775697112</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972973.16</v>
      </c>
      <c r="E35" s="111">
        <v>7318541.194554586</v>
      </c>
      <c r="F35" s="111"/>
      <c r="G35" s="111"/>
      <c r="H35" s="111"/>
      <c r="I35" s="110">
        <v>6531267</v>
      </c>
      <c r="J35" s="110">
        <v>621521.53</v>
      </c>
      <c r="K35" s="111">
        <v>544607.6420432278</v>
      </c>
      <c r="L35" s="111"/>
      <c r="M35" s="111"/>
      <c r="N35" s="111"/>
      <c r="O35" s="110"/>
      <c r="P35" s="110">
        <v>292946.07</v>
      </c>
      <c r="Q35" s="111">
        <v>360040.5472178323</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10550102.929999998</v>
      </c>
      <c r="AT35" s="114">
        <v>395735.44</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3460963</v>
      </c>
      <c r="E37" s="119">
        <v>3424419.860000005</v>
      </c>
      <c r="F37" s="119"/>
      <c r="G37" s="119"/>
      <c r="H37" s="119"/>
      <c r="I37" s="118">
        <v>538174</v>
      </c>
      <c r="J37" s="118">
        <v>4052869</v>
      </c>
      <c r="K37" s="119">
        <v>3562546.0500000045</v>
      </c>
      <c r="L37" s="119"/>
      <c r="M37" s="119"/>
      <c r="N37" s="119"/>
      <c r="O37" s="118"/>
      <c r="P37" s="118">
        <v>1975095</v>
      </c>
      <c r="Q37" s="119">
        <v>1779450.669999999</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118545690</v>
      </c>
      <c r="AT37" s="120">
        <v>61420</v>
      </c>
      <c r="AU37" s="120"/>
      <c r="AV37" s="120"/>
      <c r="AW37" s="318"/>
    </row>
    <row r="38" spans="1:49" x14ac:dyDescent="0.2">
      <c r="B38" s="156" t="s">
        <v>255</v>
      </c>
      <c r="C38" s="63" t="s">
        <v>16</v>
      </c>
      <c r="D38" s="110">
        <v>696470</v>
      </c>
      <c r="E38" s="111">
        <v>678721.22999999986</v>
      </c>
      <c r="F38" s="111"/>
      <c r="G38" s="111"/>
      <c r="H38" s="111"/>
      <c r="I38" s="110">
        <v>115660</v>
      </c>
      <c r="J38" s="110">
        <v>1702437</v>
      </c>
      <c r="K38" s="111">
        <v>1352186.1299999997</v>
      </c>
      <c r="L38" s="111"/>
      <c r="M38" s="111"/>
      <c r="N38" s="111"/>
      <c r="O38" s="110"/>
      <c r="P38" s="110">
        <v>774731</v>
      </c>
      <c r="Q38" s="111">
        <v>638291.16999999981</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42734831</v>
      </c>
      <c r="AT38" s="114">
        <v>469</v>
      </c>
      <c r="AU38" s="114"/>
      <c r="AV38" s="114"/>
      <c r="AW38" s="319"/>
    </row>
    <row r="39" spans="1:49" x14ac:dyDescent="0.2">
      <c r="B39" s="159" t="s">
        <v>256</v>
      </c>
      <c r="C39" s="63" t="s">
        <v>17</v>
      </c>
      <c r="D39" s="110">
        <v>1343740</v>
      </c>
      <c r="E39" s="111">
        <v>1339263.8399999994</v>
      </c>
      <c r="F39" s="111"/>
      <c r="G39" s="111"/>
      <c r="H39" s="111"/>
      <c r="I39" s="110">
        <v>206426</v>
      </c>
      <c r="J39" s="110">
        <v>1496742</v>
      </c>
      <c r="K39" s="111">
        <v>1418404.5699999991</v>
      </c>
      <c r="L39" s="111"/>
      <c r="M39" s="111"/>
      <c r="N39" s="111"/>
      <c r="O39" s="110"/>
      <c r="P39" s="110">
        <v>706534</v>
      </c>
      <c r="Q39" s="111">
        <v>675692.31000000017</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37574388</v>
      </c>
      <c r="AT39" s="114">
        <v>127173</v>
      </c>
      <c r="AU39" s="114"/>
      <c r="AV39" s="114"/>
      <c r="AW39" s="319"/>
    </row>
    <row r="40" spans="1:49" x14ac:dyDescent="0.2">
      <c r="B40" s="159" t="s">
        <v>257</v>
      </c>
      <c r="C40" s="63" t="s">
        <v>38</v>
      </c>
      <c r="D40" s="110">
        <v>5207192</v>
      </c>
      <c r="E40" s="111">
        <v>5198547.0000000009</v>
      </c>
      <c r="F40" s="111"/>
      <c r="G40" s="111"/>
      <c r="H40" s="111"/>
      <c r="I40" s="110">
        <v>976002</v>
      </c>
      <c r="J40" s="110">
        <v>10176253</v>
      </c>
      <c r="K40" s="111">
        <v>9891457.4300000016</v>
      </c>
      <c r="L40" s="111"/>
      <c r="M40" s="111"/>
      <c r="N40" s="111"/>
      <c r="O40" s="110"/>
      <c r="P40" s="110">
        <v>5167797</v>
      </c>
      <c r="Q40" s="111">
        <v>5060536.16</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114299697</v>
      </c>
      <c r="AT40" s="114">
        <v>900092</v>
      </c>
      <c r="AU40" s="114"/>
      <c r="AV40" s="114"/>
      <c r="AW40" s="319"/>
    </row>
    <row r="41" spans="1:49" s="6" customFormat="1" ht="25.5" x14ac:dyDescent="0.2">
      <c r="A41" s="36"/>
      <c r="B41" s="159" t="s">
        <v>258</v>
      </c>
      <c r="C41" s="63" t="s">
        <v>129</v>
      </c>
      <c r="D41" s="110">
        <v>1632802</v>
      </c>
      <c r="E41" s="111">
        <v>1589028.2199999995</v>
      </c>
      <c r="F41" s="111"/>
      <c r="G41" s="111"/>
      <c r="H41" s="111"/>
      <c r="I41" s="110">
        <v>147500</v>
      </c>
      <c r="J41" s="110">
        <v>1108175</v>
      </c>
      <c r="K41" s="111">
        <v>879110.41999999981</v>
      </c>
      <c r="L41" s="111"/>
      <c r="M41" s="111"/>
      <c r="N41" s="111"/>
      <c r="O41" s="110"/>
      <c r="P41" s="110">
        <v>522438</v>
      </c>
      <c r="Q41" s="111">
        <v>430035.89000000036</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55493314</v>
      </c>
      <c r="AT41" s="114">
        <v>548806</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11861841</v>
      </c>
      <c r="E44" s="119">
        <v>11602320.934344864</v>
      </c>
      <c r="F44" s="119"/>
      <c r="G44" s="119"/>
      <c r="H44" s="119"/>
      <c r="I44" s="118">
        <v>2198419</v>
      </c>
      <c r="J44" s="118">
        <v>14613685</v>
      </c>
      <c r="K44" s="119">
        <v>12764766.262907337</v>
      </c>
      <c r="L44" s="119"/>
      <c r="M44" s="119"/>
      <c r="N44" s="119"/>
      <c r="O44" s="118"/>
      <c r="P44" s="118">
        <v>7791365</v>
      </c>
      <c r="Q44" s="119">
        <v>6797754.3160529025</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222987321</v>
      </c>
      <c r="AT44" s="120">
        <v>2165487</v>
      </c>
      <c r="AU44" s="120"/>
      <c r="AV44" s="120"/>
      <c r="AW44" s="318"/>
    </row>
    <row r="45" spans="1:49" x14ac:dyDescent="0.2">
      <c r="B45" s="162" t="s">
        <v>262</v>
      </c>
      <c r="C45" s="63" t="s">
        <v>19</v>
      </c>
      <c r="D45" s="110">
        <v>12077536</v>
      </c>
      <c r="E45" s="111">
        <v>11784620.522112412</v>
      </c>
      <c r="F45" s="111"/>
      <c r="G45" s="111"/>
      <c r="H45" s="111"/>
      <c r="I45" s="110">
        <v>2438737</v>
      </c>
      <c r="J45" s="110">
        <v>6866216</v>
      </c>
      <c r="K45" s="111">
        <v>6135925.7565197209</v>
      </c>
      <c r="L45" s="111"/>
      <c r="M45" s="111"/>
      <c r="N45" s="111"/>
      <c r="O45" s="110"/>
      <c r="P45" s="110">
        <v>3373455</v>
      </c>
      <c r="Q45" s="111">
        <v>3063634.0858460106</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211822224</v>
      </c>
      <c r="AT45" s="114">
        <v>3940037</v>
      </c>
      <c r="AU45" s="114"/>
      <c r="AV45" s="114"/>
      <c r="AW45" s="319"/>
    </row>
    <row r="46" spans="1:49" x14ac:dyDescent="0.2">
      <c r="B46" s="162" t="s">
        <v>263</v>
      </c>
      <c r="C46" s="63" t="s">
        <v>20</v>
      </c>
      <c r="D46" s="110">
        <v>13844642</v>
      </c>
      <c r="E46" s="111">
        <v>13481260.40980266</v>
      </c>
      <c r="F46" s="111"/>
      <c r="G46" s="111"/>
      <c r="H46" s="111"/>
      <c r="I46" s="110">
        <v>2355018</v>
      </c>
      <c r="J46" s="110">
        <v>5910684</v>
      </c>
      <c r="K46" s="111">
        <v>4699898.574174447</v>
      </c>
      <c r="L46" s="111"/>
      <c r="M46" s="111"/>
      <c r="N46" s="111"/>
      <c r="O46" s="110"/>
      <c r="P46" s="110">
        <v>2765811</v>
      </c>
      <c r="Q46" s="111">
        <v>2249004.1965743778</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204077883</v>
      </c>
      <c r="AT46" s="114">
        <v>4405342</v>
      </c>
      <c r="AU46" s="114"/>
      <c r="AV46" s="114"/>
      <c r="AW46" s="319"/>
    </row>
    <row r="47" spans="1:49" x14ac:dyDescent="0.2">
      <c r="B47" s="162" t="s">
        <v>264</v>
      </c>
      <c r="C47" s="63" t="s">
        <v>21</v>
      </c>
      <c r="D47" s="110">
        <v>50561060</v>
      </c>
      <c r="E47" s="111">
        <v>49823122.920829386</v>
      </c>
      <c r="F47" s="111"/>
      <c r="G47" s="111"/>
      <c r="H47" s="111"/>
      <c r="I47" s="110">
        <v>13138638</v>
      </c>
      <c r="J47" s="110">
        <v>46979252</v>
      </c>
      <c r="K47" s="111">
        <v>41175213.920228295</v>
      </c>
      <c r="L47" s="111"/>
      <c r="M47" s="111"/>
      <c r="N47" s="111"/>
      <c r="O47" s="110"/>
      <c r="P47" s="110">
        <v>21292693</v>
      </c>
      <c r="Q47" s="111">
        <v>18588520.592140384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170914423</v>
      </c>
      <c r="AT47" s="114">
        <v>41582514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4876154.1965446202</v>
      </c>
      <c r="E49" s="111">
        <v>1133123.0860874178</v>
      </c>
      <c r="F49" s="111"/>
      <c r="G49" s="111"/>
      <c r="H49" s="111"/>
      <c r="I49" s="110">
        <v>-355934</v>
      </c>
      <c r="J49" s="110">
        <v>163292.23299389007</v>
      </c>
      <c r="K49" s="111">
        <v>-1273570.8971965606</v>
      </c>
      <c r="L49" s="111"/>
      <c r="M49" s="111"/>
      <c r="N49" s="111"/>
      <c r="O49" s="110"/>
      <c r="P49" s="110">
        <v>1918482.9403303931</v>
      </c>
      <c r="Q49" s="111">
        <v>579120.59561270778</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52233152.714653105</v>
      </c>
      <c r="AT49" s="114">
        <v>2160291.7620601822</v>
      </c>
      <c r="AU49" s="114"/>
      <c r="AV49" s="114"/>
      <c r="AW49" s="319"/>
    </row>
    <row r="50" spans="2:49" ht="25.5" x14ac:dyDescent="0.2">
      <c r="B50" s="156" t="s">
        <v>266</v>
      </c>
      <c r="C50" s="63"/>
      <c r="D50" s="110">
        <v>51243.24</v>
      </c>
      <c r="E50" s="111">
        <v>48856.559148136337</v>
      </c>
      <c r="F50" s="111"/>
      <c r="G50" s="111"/>
      <c r="H50" s="111"/>
      <c r="I50" s="110">
        <v>7430</v>
      </c>
      <c r="J50" s="110">
        <v>34719.570000000007</v>
      </c>
      <c r="K50" s="111">
        <v>28248.280000529852</v>
      </c>
      <c r="L50" s="111"/>
      <c r="M50" s="111"/>
      <c r="N50" s="111"/>
      <c r="O50" s="110"/>
      <c r="P50" s="110">
        <v>16879.13</v>
      </c>
      <c r="Q50" s="111">
        <v>14058.73115764978</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640732.4800000001</v>
      </c>
      <c r="AT50" s="114">
        <v>19042.369999999992</v>
      </c>
      <c r="AU50" s="114"/>
      <c r="AV50" s="114"/>
      <c r="AW50" s="319"/>
    </row>
    <row r="51" spans="2:49" x14ac:dyDescent="0.2">
      <c r="B51" s="156" t="s">
        <v>267</v>
      </c>
      <c r="C51" s="63"/>
      <c r="D51" s="110">
        <v>100758515</v>
      </c>
      <c r="E51" s="111">
        <v>95366620.766209185</v>
      </c>
      <c r="F51" s="111"/>
      <c r="G51" s="111"/>
      <c r="H51" s="111"/>
      <c r="I51" s="110">
        <v>14965313</v>
      </c>
      <c r="J51" s="110">
        <v>65282295</v>
      </c>
      <c r="K51" s="111">
        <v>52573893.591538444</v>
      </c>
      <c r="L51" s="111"/>
      <c r="M51" s="111"/>
      <c r="N51" s="111"/>
      <c r="O51" s="110"/>
      <c r="P51" s="110">
        <v>31155296</v>
      </c>
      <c r="Q51" s="111">
        <v>25740024.121561263</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1040042959</v>
      </c>
      <c r="AT51" s="114">
        <v>26719320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326552</v>
      </c>
      <c r="E56" s="123">
        <v>179189</v>
      </c>
      <c r="F56" s="123"/>
      <c r="G56" s="123"/>
      <c r="H56" s="123"/>
      <c r="I56" s="122">
        <v>48777</v>
      </c>
      <c r="J56" s="122">
        <v>220266</v>
      </c>
      <c r="K56" s="123">
        <v>113010</v>
      </c>
      <c r="L56" s="123"/>
      <c r="M56" s="123"/>
      <c r="N56" s="123"/>
      <c r="O56" s="122"/>
      <c r="P56" s="122">
        <v>136219</v>
      </c>
      <c r="Q56" s="123">
        <v>50942</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v>328</v>
      </c>
      <c r="AP56" s="123"/>
      <c r="AQ56" s="123"/>
      <c r="AR56" s="123"/>
      <c r="AS56" s="122">
        <v>4896535</v>
      </c>
      <c r="AT56" s="124">
        <v>1034762</v>
      </c>
      <c r="AU56" s="124"/>
      <c r="AV56" s="124"/>
      <c r="AW56" s="310"/>
    </row>
    <row r="57" spans="2:49" x14ac:dyDescent="0.2">
      <c r="B57" s="162" t="s">
        <v>273</v>
      </c>
      <c r="C57" s="63" t="s">
        <v>25</v>
      </c>
      <c r="D57" s="125">
        <v>549368</v>
      </c>
      <c r="E57" s="126">
        <v>316959</v>
      </c>
      <c r="F57" s="126"/>
      <c r="G57" s="126"/>
      <c r="H57" s="126"/>
      <c r="I57" s="125">
        <v>69282</v>
      </c>
      <c r="J57" s="125">
        <v>433507</v>
      </c>
      <c r="K57" s="126">
        <v>200828</v>
      </c>
      <c r="L57" s="126"/>
      <c r="M57" s="126"/>
      <c r="N57" s="126"/>
      <c r="O57" s="125"/>
      <c r="P57" s="125">
        <v>205816</v>
      </c>
      <c r="Q57" s="126">
        <v>95762</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v>328</v>
      </c>
      <c r="AP57" s="126"/>
      <c r="AQ57" s="126"/>
      <c r="AR57" s="126"/>
      <c r="AS57" s="125">
        <v>5414934</v>
      </c>
      <c r="AT57" s="127">
        <v>1809718</v>
      </c>
      <c r="AU57" s="127"/>
      <c r="AV57" s="127"/>
      <c r="AW57" s="311"/>
    </row>
    <row r="58" spans="2:49" x14ac:dyDescent="0.2">
      <c r="B58" s="162" t="s">
        <v>274</v>
      </c>
      <c r="C58" s="63" t="s">
        <v>26</v>
      </c>
      <c r="D58" s="331"/>
      <c r="E58" s="332"/>
      <c r="F58" s="332"/>
      <c r="G58" s="332"/>
      <c r="H58" s="332"/>
      <c r="I58" s="331"/>
      <c r="J58" s="125">
        <v>13654</v>
      </c>
      <c r="K58" s="126">
        <v>13654</v>
      </c>
      <c r="L58" s="126"/>
      <c r="M58" s="126"/>
      <c r="N58" s="126"/>
      <c r="O58" s="125"/>
      <c r="P58" s="125">
        <v>947</v>
      </c>
      <c r="Q58" s="126">
        <v>947</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866</v>
      </c>
      <c r="AT58" s="127">
        <v>17238</v>
      </c>
      <c r="AU58" s="127"/>
      <c r="AV58" s="127"/>
      <c r="AW58" s="311"/>
    </row>
    <row r="59" spans="2:49" x14ac:dyDescent="0.2">
      <c r="B59" s="162" t="s">
        <v>275</v>
      </c>
      <c r="C59" s="63" t="s">
        <v>27</v>
      </c>
      <c r="D59" s="125">
        <v>6535718</v>
      </c>
      <c r="E59" s="126">
        <v>4022275</v>
      </c>
      <c r="F59" s="126"/>
      <c r="G59" s="126"/>
      <c r="H59" s="126"/>
      <c r="I59" s="125">
        <v>694687</v>
      </c>
      <c r="J59" s="125">
        <v>5506376</v>
      </c>
      <c r="K59" s="126">
        <v>2419171</v>
      </c>
      <c r="L59" s="126"/>
      <c r="M59" s="126"/>
      <c r="N59" s="126"/>
      <c r="O59" s="125"/>
      <c r="P59" s="125">
        <v>2623640</v>
      </c>
      <c r="Q59" s="126">
        <v>1203176</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v>9807</v>
      </c>
      <c r="AP59" s="126"/>
      <c r="AQ59" s="126"/>
      <c r="AR59" s="126"/>
      <c r="AS59" s="125">
        <v>63881399</v>
      </c>
      <c r="AT59" s="127">
        <v>17652098</v>
      </c>
      <c r="AU59" s="127"/>
      <c r="AV59" s="127"/>
      <c r="AW59" s="311"/>
    </row>
    <row r="60" spans="2:49" x14ac:dyDescent="0.2">
      <c r="B60" s="162" t="s">
        <v>276</v>
      </c>
      <c r="C60" s="63"/>
      <c r="D60" s="128">
        <f t="shared" ref="D60:AC60" si="0">D$59/12</f>
        <v>544643.16666666663</v>
      </c>
      <c r="E60" s="129">
        <f t="shared" si="0"/>
        <v>335189.58333333331</v>
      </c>
      <c r="F60" s="129">
        <f t="shared" si="0"/>
        <v>0</v>
      </c>
      <c r="G60" s="129">
        <f t="shared" si="0"/>
        <v>0</v>
      </c>
      <c r="H60" s="129">
        <f t="shared" si="0"/>
        <v>0</v>
      </c>
      <c r="I60" s="128">
        <f t="shared" si="0"/>
        <v>57890.583333333336</v>
      </c>
      <c r="J60" s="128">
        <f t="shared" si="0"/>
        <v>458864.66666666669</v>
      </c>
      <c r="K60" s="129">
        <f t="shared" si="0"/>
        <v>201597.58333333334</v>
      </c>
      <c r="L60" s="129">
        <f t="shared" si="0"/>
        <v>0</v>
      </c>
      <c r="M60" s="129">
        <f t="shared" si="0"/>
        <v>0</v>
      </c>
      <c r="N60" s="129">
        <f t="shared" si="0"/>
        <v>0</v>
      </c>
      <c r="O60" s="128">
        <f t="shared" si="0"/>
        <v>0</v>
      </c>
      <c r="P60" s="128">
        <f t="shared" si="0"/>
        <v>218636.66666666666</v>
      </c>
      <c r="Q60" s="129">
        <f t="shared" si="0"/>
        <v>100264.66666666667</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f t="shared" ref="AN60:AV60" si="1">AN$59/12</f>
        <v>0</v>
      </c>
      <c r="AO60" s="129">
        <f t="shared" si="1"/>
        <v>817.25</v>
      </c>
      <c r="AP60" s="129">
        <f t="shared" si="1"/>
        <v>0</v>
      </c>
      <c r="AQ60" s="129">
        <f t="shared" si="1"/>
        <v>0</v>
      </c>
      <c r="AR60" s="129">
        <f t="shared" si="1"/>
        <v>0</v>
      </c>
      <c r="AS60" s="128">
        <f t="shared" si="1"/>
        <v>5323449.916666667</v>
      </c>
      <c r="AT60" s="130">
        <f t="shared" si="1"/>
        <v>1471008.1666666667</v>
      </c>
      <c r="AU60" s="130">
        <f t="shared" si="1"/>
        <v>0</v>
      </c>
      <c r="AV60" s="130">
        <f t="shared" si="1"/>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265086838.99999997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93120624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F10" sqref="F10"/>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975942609</v>
      </c>
      <c r="E5" s="119">
        <v>879375491.64463425</v>
      </c>
      <c r="F5" s="119"/>
      <c r="G5" s="131"/>
      <c r="H5" s="131"/>
      <c r="I5" s="118">
        <v>249773991</v>
      </c>
      <c r="J5" s="118">
        <v>1141793361</v>
      </c>
      <c r="K5" s="119">
        <v>902890525.17985904</v>
      </c>
      <c r="L5" s="119"/>
      <c r="M5" s="119"/>
      <c r="N5" s="119"/>
      <c r="O5" s="118"/>
      <c r="P5" s="118">
        <v>536556107</v>
      </c>
      <c r="Q5" s="119">
        <v>458951672.34964746</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v>1445398.09</v>
      </c>
      <c r="AP5" s="119"/>
      <c r="AQ5" s="119"/>
      <c r="AR5" s="119"/>
      <c r="AS5" s="118">
        <v>19250892868</v>
      </c>
      <c r="AT5" s="120">
        <v>485337995</v>
      </c>
      <c r="AU5" s="120"/>
      <c r="AV5" s="313"/>
      <c r="AW5" s="318"/>
    </row>
    <row r="6" spans="2:49" x14ac:dyDescent="0.2">
      <c r="B6" s="177" t="s">
        <v>279</v>
      </c>
      <c r="C6" s="134" t="s">
        <v>8</v>
      </c>
      <c r="D6" s="110">
        <v>2387406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1184797</v>
      </c>
      <c r="AU6" s="114"/>
      <c r="AV6" s="312"/>
      <c r="AW6" s="319"/>
    </row>
    <row r="7" spans="2:49" x14ac:dyDescent="0.2">
      <c r="B7" s="177" t="s">
        <v>280</v>
      </c>
      <c r="C7" s="134" t="s">
        <v>9</v>
      </c>
      <c r="D7" s="110">
        <v>1969649</v>
      </c>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2025886</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552.9000000031665</v>
      </c>
      <c r="E9" s="289"/>
      <c r="F9" s="289"/>
      <c r="G9" s="289"/>
      <c r="H9" s="289"/>
      <c r="I9" s="293"/>
      <c r="J9" s="110">
        <v>-426845.589999991</v>
      </c>
      <c r="K9" s="289"/>
      <c r="L9" s="289"/>
      <c r="M9" s="289"/>
      <c r="N9" s="289"/>
      <c r="O9" s="293"/>
      <c r="P9" s="110">
        <v>546630.67999999376</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-4241849.67</v>
      </c>
      <c r="E11" s="111"/>
      <c r="F11" s="111"/>
      <c r="G11" s="111"/>
      <c r="H11" s="111"/>
      <c r="I11" s="110"/>
      <c r="J11" s="110">
        <v>-43984.710000000894</v>
      </c>
      <c r="K11" s="111"/>
      <c r="L11" s="111"/>
      <c r="M11" s="111"/>
      <c r="N11" s="111"/>
      <c r="O11" s="110"/>
      <c r="P11" s="110">
        <v>22872.710000000196</v>
      </c>
      <c r="Q11" s="111">
        <v>17190.71</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-278123193</v>
      </c>
      <c r="AT11" s="114"/>
      <c r="AU11" s="114"/>
      <c r="AV11" s="312"/>
      <c r="AW11" s="319"/>
    </row>
    <row r="12" spans="2:49" x14ac:dyDescent="0.2">
      <c r="B12" s="177" t="s">
        <v>283</v>
      </c>
      <c r="C12" s="134" t="s">
        <v>44</v>
      </c>
      <c r="D12" s="110">
        <v>3.9999986067414284E-2</v>
      </c>
      <c r="E12" s="290"/>
      <c r="F12" s="290"/>
      <c r="G12" s="290"/>
      <c r="H12" s="290"/>
      <c r="I12" s="294"/>
      <c r="J12" s="110">
        <v>-1.2699999902397394</v>
      </c>
      <c r="K12" s="290"/>
      <c r="L12" s="290"/>
      <c r="M12" s="290"/>
      <c r="N12" s="290"/>
      <c r="O12" s="294"/>
      <c r="P12" s="110">
        <v>131952.65999999549</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-223972278</v>
      </c>
      <c r="AT12" s="114">
        <v>1</v>
      </c>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v>102852636.09999999</v>
      </c>
      <c r="F15" s="111"/>
      <c r="G15" s="111"/>
      <c r="H15" s="111"/>
      <c r="I15" s="110">
        <v>65323679</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v>40856769.57</v>
      </c>
      <c r="F16" s="111"/>
      <c r="G16" s="111"/>
      <c r="H16" s="111"/>
      <c r="I16" s="110">
        <v>13875877</v>
      </c>
      <c r="J16" s="110"/>
      <c r="K16" s="111">
        <v>3492212.8299999991</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v>15860421</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v>202857</v>
      </c>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8975119</v>
      </c>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-23741270</v>
      </c>
      <c r="AU19" s="114"/>
      <c r="AV19" s="312"/>
      <c r="AW19" s="319"/>
    </row>
    <row r="20" spans="2:49" s="6" customFormat="1" ht="25.5" x14ac:dyDescent="0.2">
      <c r="B20" s="179" t="s">
        <v>485</v>
      </c>
      <c r="C20" s="134"/>
      <c r="D20" s="110"/>
      <c r="E20" s="111">
        <v>151144158.79999998</v>
      </c>
      <c r="F20" s="111"/>
      <c r="G20" s="111"/>
      <c r="H20" s="111"/>
      <c r="I20" s="110">
        <v>151065458</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840802112</v>
      </c>
      <c r="E23" s="289"/>
      <c r="F23" s="289"/>
      <c r="G23" s="289"/>
      <c r="H23" s="289"/>
      <c r="I23" s="293"/>
      <c r="J23" s="110">
        <v>871481287</v>
      </c>
      <c r="K23" s="289"/>
      <c r="L23" s="289"/>
      <c r="M23" s="289"/>
      <c r="N23" s="289"/>
      <c r="O23" s="293"/>
      <c r="P23" s="110">
        <v>487348913</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16104910775</v>
      </c>
      <c r="AT23" s="114">
        <v>321948711</v>
      </c>
      <c r="AU23" s="114"/>
      <c r="AV23" s="312"/>
      <c r="AW23" s="319"/>
    </row>
    <row r="24" spans="2:49" ht="28.5" customHeight="1" x14ac:dyDescent="0.2">
      <c r="B24" s="179" t="s">
        <v>114</v>
      </c>
      <c r="C24" s="134"/>
      <c r="D24" s="294"/>
      <c r="E24" s="111">
        <v>879604962.84499955</v>
      </c>
      <c r="F24" s="111"/>
      <c r="G24" s="111"/>
      <c r="H24" s="111"/>
      <c r="I24" s="110">
        <v>321269952</v>
      </c>
      <c r="J24" s="294"/>
      <c r="K24" s="111">
        <v>696646539.17564237</v>
      </c>
      <c r="L24" s="111"/>
      <c r="M24" s="111"/>
      <c r="N24" s="111"/>
      <c r="O24" s="110"/>
      <c r="P24" s="294"/>
      <c r="Q24" s="111">
        <v>379026356.54292351</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v>1635867.92</v>
      </c>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127041456</v>
      </c>
      <c r="E26" s="289"/>
      <c r="F26" s="289"/>
      <c r="G26" s="289"/>
      <c r="H26" s="289"/>
      <c r="I26" s="293"/>
      <c r="J26" s="110">
        <v>88937366</v>
      </c>
      <c r="K26" s="289"/>
      <c r="L26" s="289"/>
      <c r="M26" s="289"/>
      <c r="N26" s="289"/>
      <c r="O26" s="293"/>
      <c r="P26" s="110">
        <v>50598330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1480257263</v>
      </c>
      <c r="AT26" s="114">
        <v>60353440</v>
      </c>
      <c r="AU26" s="114"/>
      <c r="AV26" s="312"/>
      <c r="AW26" s="319"/>
    </row>
    <row r="27" spans="2:49" s="6" customFormat="1" ht="25.5" x14ac:dyDescent="0.2">
      <c r="B27" s="179" t="s">
        <v>85</v>
      </c>
      <c r="C27" s="134"/>
      <c r="D27" s="294"/>
      <c r="E27" s="111">
        <v>20061102.381500024</v>
      </c>
      <c r="F27" s="111"/>
      <c r="G27" s="111"/>
      <c r="H27" s="111"/>
      <c r="I27" s="110">
        <v>11932912</v>
      </c>
      <c r="J27" s="294"/>
      <c r="K27" s="111">
        <v>8167225.8079261882</v>
      </c>
      <c r="L27" s="111"/>
      <c r="M27" s="111"/>
      <c r="N27" s="111"/>
      <c r="O27" s="110"/>
      <c r="P27" s="294"/>
      <c r="Q27" s="111">
        <v>4387320.6945738336</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v>15952.712100000032</v>
      </c>
      <c r="AP27" s="111"/>
      <c r="AQ27" s="111"/>
      <c r="AR27" s="111"/>
      <c r="AS27" s="294"/>
      <c r="AT27" s="315"/>
      <c r="AU27" s="315"/>
      <c r="AV27" s="312"/>
      <c r="AW27" s="319"/>
    </row>
    <row r="28" spans="2:49" x14ac:dyDescent="0.2">
      <c r="B28" s="177" t="s">
        <v>290</v>
      </c>
      <c r="C28" s="134" t="s">
        <v>47</v>
      </c>
      <c r="D28" s="110">
        <v>71963082</v>
      </c>
      <c r="E28" s="290"/>
      <c r="F28" s="290"/>
      <c r="G28" s="290"/>
      <c r="H28" s="290"/>
      <c r="I28" s="294"/>
      <c r="J28" s="110">
        <v>97251695</v>
      </c>
      <c r="K28" s="290"/>
      <c r="L28" s="290"/>
      <c r="M28" s="290"/>
      <c r="N28" s="290"/>
      <c r="O28" s="294"/>
      <c r="P28" s="110">
        <v>63223541</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1366706151</v>
      </c>
      <c r="AT28" s="114">
        <v>48597063</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35</v>
      </c>
      <c r="E30" s="289"/>
      <c r="F30" s="289"/>
      <c r="G30" s="289"/>
      <c r="H30" s="289"/>
      <c r="I30" s="293"/>
      <c r="J30" s="110">
        <v>400872</v>
      </c>
      <c r="K30" s="289"/>
      <c r="L30" s="289"/>
      <c r="M30" s="289"/>
      <c r="N30" s="289"/>
      <c r="O30" s="293"/>
      <c r="P30" s="110">
        <v>21084</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10</v>
      </c>
      <c r="AT30" s="114">
        <v>6737608</v>
      </c>
      <c r="AU30" s="114"/>
      <c r="AV30" s="312"/>
      <c r="AW30" s="319"/>
    </row>
    <row r="31" spans="2:49" s="6" customFormat="1" ht="25.5" x14ac:dyDescent="0.2">
      <c r="B31" s="179" t="s">
        <v>84</v>
      </c>
      <c r="C31" s="134"/>
      <c r="D31" s="294"/>
      <c r="E31" s="111"/>
      <c r="F31" s="111"/>
      <c r="G31" s="111"/>
      <c r="H31" s="111"/>
      <c r="I31" s="110"/>
      <c r="J31" s="294"/>
      <c r="K31" s="111">
        <v>375372.22</v>
      </c>
      <c r="L31" s="111"/>
      <c r="M31" s="111"/>
      <c r="N31" s="111"/>
      <c r="O31" s="110"/>
      <c r="P31" s="294"/>
      <c r="Q31" s="111">
        <v>-271337.00000000006</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1809</v>
      </c>
      <c r="E32" s="290"/>
      <c r="F32" s="290"/>
      <c r="G32" s="290"/>
      <c r="H32" s="290"/>
      <c r="I32" s="294"/>
      <c r="J32" s="110">
        <v>224844</v>
      </c>
      <c r="K32" s="290"/>
      <c r="L32" s="290"/>
      <c r="M32" s="290"/>
      <c r="N32" s="290"/>
      <c r="O32" s="294"/>
      <c r="P32" s="110">
        <v>1794</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7125679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121997954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4549523</v>
      </c>
      <c r="AU34" s="114"/>
      <c r="AV34" s="312"/>
      <c r="AW34" s="319"/>
    </row>
    <row r="35" spans="2:49" s="6" customFormat="1" x14ac:dyDescent="0.2">
      <c r="B35" s="179" t="s">
        <v>91</v>
      </c>
      <c r="C35" s="134"/>
      <c r="D35" s="294"/>
      <c r="E35" s="111">
        <v>121997954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135722577</v>
      </c>
      <c r="E36" s="111">
        <v>135028644</v>
      </c>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2610166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7121288</v>
      </c>
      <c r="E38" s="289"/>
      <c r="F38" s="289"/>
      <c r="G38" s="289"/>
      <c r="H38" s="289"/>
      <c r="I38" s="293"/>
      <c r="J38" s="110">
        <v>7666980</v>
      </c>
      <c r="K38" s="289"/>
      <c r="L38" s="289"/>
      <c r="M38" s="289"/>
      <c r="N38" s="289"/>
      <c r="O38" s="293"/>
      <c r="P38" s="110">
        <v>823691</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76714183</v>
      </c>
      <c r="AT38" s="114">
        <v>-465</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9067420</v>
      </c>
      <c r="E41" s="289"/>
      <c r="F41" s="289"/>
      <c r="G41" s="289"/>
      <c r="H41" s="289"/>
      <c r="I41" s="293"/>
      <c r="J41" s="110">
        <v>8912450</v>
      </c>
      <c r="K41" s="289"/>
      <c r="L41" s="289"/>
      <c r="M41" s="289"/>
      <c r="N41" s="289"/>
      <c r="O41" s="293"/>
      <c r="P41" s="110">
        <v>1596959</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-278123193</v>
      </c>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v>17190.71</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15720620</v>
      </c>
      <c r="E43" s="290"/>
      <c r="F43" s="290"/>
      <c r="G43" s="290"/>
      <c r="H43" s="290"/>
      <c r="I43" s="294"/>
      <c r="J43" s="110">
        <v>13297330</v>
      </c>
      <c r="K43" s="290"/>
      <c r="L43" s="290"/>
      <c r="M43" s="290"/>
      <c r="N43" s="290"/>
      <c r="O43" s="294"/>
      <c r="P43" s="110">
        <v>3710577</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-223972278</v>
      </c>
      <c r="AT43" s="114">
        <v>1</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v>2527004.3599999994</v>
      </c>
      <c r="F46" s="111"/>
      <c r="G46" s="111"/>
      <c r="H46" s="111"/>
      <c r="I46" s="110">
        <v>2526996</v>
      </c>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2618181</v>
      </c>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1222257</v>
      </c>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1838723</v>
      </c>
      <c r="E49" s="111">
        <v>7117150.0099999979</v>
      </c>
      <c r="F49" s="111"/>
      <c r="G49" s="111"/>
      <c r="H49" s="111"/>
      <c r="I49" s="110">
        <v>1826877</v>
      </c>
      <c r="J49" s="110">
        <v>3992695</v>
      </c>
      <c r="K49" s="111">
        <v>12786496.213251282</v>
      </c>
      <c r="L49" s="111"/>
      <c r="M49" s="111"/>
      <c r="N49" s="111"/>
      <c r="O49" s="110"/>
      <c r="P49" s="110">
        <v>1596625</v>
      </c>
      <c r="Q49" s="111">
        <v>5948122.9067487214</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v>20567.759999999998</v>
      </c>
      <c r="AP49" s="111"/>
      <c r="AQ49" s="111"/>
      <c r="AR49" s="111"/>
      <c r="AS49" s="110">
        <v>359675519</v>
      </c>
      <c r="AT49" s="114">
        <v>24177</v>
      </c>
      <c r="AU49" s="114"/>
      <c r="AV49" s="312"/>
      <c r="AW49" s="319"/>
    </row>
    <row r="50" spans="2:49" x14ac:dyDescent="0.2">
      <c r="B50" s="177" t="s">
        <v>119</v>
      </c>
      <c r="C50" s="134" t="s">
        <v>34</v>
      </c>
      <c r="D50" s="110">
        <v>2221877</v>
      </c>
      <c r="E50" s="290"/>
      <c r="F50" s="290"/>
      <c r="G50" s="290"/>
      <c r="H50" s="290"/>
      <c r="I50" s="294"/>
      <c r="J50" s="110">
        <v>1608865</v>
      </c>
      <c r="K50" s="290"/>
      <c r="L50" s="290"/>
      <c r="M50" s="290"/>
      <c r="N50" s="290"/>
      <c r="O50" s="294"/>
      <c r="P50" s="110">
        <v>1655306</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232191932</v>
      </c>
      <c r="AT50" s="114">
        <v>19480</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v>158440</v>
      </c>
      <c r="L53" s="111"/>
      <c r="M53" s="111"/>
      <c r="N53" s="111"/>
      <c r="O53" s="110"/>
      <c r="P53" s="110"/>
      <c r="Q53" s="111">
        <v>370259</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883005331</v>
      </c>
      <c r="E54" s="116">
        <f>E24+E27+E31+E35-E36+E39+E42+E45+E46-E49+E51+E52+E53</f>
        <v>882045229.57649958</v>
      </c>
      <c r="F54" s="116">
        <f>F24+F27+F31+F35-F36+F39+F42+F45+F46-F49+F51+F52+F53</f>
        <v>0</v>
      </c>
      <c r="G54" s="116">
        <f>G24+G27+G31+G35-G36+G39+G42+G45+G46-G49+G51+G52+G53</f>
        <v>0</v>
      </c>
      <c r="H54" s="116">
        <f>H24+H27+H31+H35-H36+H39+H42+H45+H46-H49+H51+H52+H53</f>
        <v>0</v>
      </c>
      <c r="I54" s="115">
        <f>I24+I27+I31+I35-I36+I39+I42+I45+I46-I49+I51+I52+I53</f>
        <v>333902983</v>
      </c>
      <c r="J54" s="115">
        <f>J23+J26-J28+J30-J32+J34-J36+J38+J41-J43+J45+J46-J47-J49+J50+J51+J52+J53</f>
        <v>864241256</v>
      </c>
      <c r="K54" s="116">
        <f>K24+K27+K31+K35-K36+K39+K42+K45+K46-K49+K51+K52+K53</f>
        <v>692561080.99031734</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473511746</v>
      </c>
      <c r="Q54" s="116">
        <f>Q24+Q27+Q31+Q35-Q36+Q39+Q42+Q45+Q46-Q49+Q51+Q52+Q53</f>
        <v>377581667.0407486</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f>AN23+AN26-AN28+AN30-AN32+AN34-AN36+AN38+AN41-AN43+AN45+AN46-AN47-AN49+AN50+AN51+AN52+AN53</f>
        <v>0</v>
      </c>
      <c r="AO54" s="116">
        <f>AO24+AO27+AO31+AO35-AO36+AO39+AO42+AO45+AO46-AO49+AO51+AO52+AO53</f>
        <v>1631252.8721</v>
      </c>
      <c r="AP54" s="116">
        <f>AP24+AP27+AP31+AP35-AP36+AP39+AP42+AP45+AP46-AP49+AP51+AP52+AP53</f>
        <v>0</v>
      </c>
      <c r="AQ54" s="116">
        <f>AQ24+AQ27+AQ31+AQ35-AQ36+AQ39+AQ42+AQ45+AQ46-AQ49+AQ51+AQ52+AQ53</f>
        <v>0</v>
      </c>
      <c r="AR54" s="116">
        <f>AR24+AR27+AR31+AR35-AR36+AR39+AR42+AR45+AR46-AR49+AR51+AR52+AR53</f>
        <v>0</v>
      </c>
      <c r="AS54" s="115">
        <f>AS23+AS26-AS28+AS30-AS32+AS34-AS36+AS38+AS41-AS43+AS45+AS46-AS47-AS49+AS50+AS51+AS52+AS53</f>
        <v>16114937502</v>
      </c>
      <c r="AT54" s="117">
        <f>AT23+AT26-AT28+AT30-AT32+AT34-AT36+AT38+AT41-AT43+AT45+AT46-AT47-AT49+AT50+AT51+AT52+AT53</f>
        <v>335251211</v>
      </c>
      <c r="AU54" s="117">
        <f>AU23+AU26-AU28+AU30-AU32+AU34-AU36+AU38+AU41-AU43+AU45+AU46-AU47-AU49+AU50+AU51+AU52+AU53</f>
        <v>0</v>
      </c>
      <c r="AV54" s="312"/>
      <c r="AW54" s="319"/>
    </row>
    <row r="55" spans="2:49" ht="25.5" x14ac:dyDescent="0.2">
      <c r="B55" s="182" t="s">
        <v>304</v>
      </c>
      <c r="C55" s="138" t="s">
        <v>28</v>
      </c>
      <c r="D55" s="115">
        <v>1163395</v>
      </c>
      <c r="E55" s="116">
        <v>1125510.75</v>
      </c>
      <c r="F55" s="116">
        <v>0</v>
      </c>
      <c r="G55" s="116">
        <v>0</v>
      </c>
      <c r="H55" s="116">
        <v>0</v>
      </c>
      <c r="I55" s="115">
        <v>82942</v>
      </c>
      <c r="J55" s="115">
        <v>1449028</v>
      </c>
      <c r="K55" s="116">
        <v>1429933.38</v>
      </c>
      <c r="L55" s="116">
        <v>0</v>
      </c>
      <c r="M55" s="116">
        <v>0</v>
      </c>
      <c r="N55" s="116">
        <v>0</v>
      </c>
      <c r="O55" s="115">
        <v>0</v>
      </c>
      <c r="P55" s="115">
        <v>849871</v>
      </c>
      <c r="Q55" s="116">
        <v>827631.94</v>
      </c>
      <c r="R55" s="116">
        <v>0</v>
      </c>
      <c r="S55" s="116">
        <v>0</v>
      </c>
      <c r="T55" s="116">
        <v>0</v>
      </c>
      <c r="U55" s="115">
        <f t="shared" ref="U55:AC55" si="0">MIN(MAX(0,U56),MAX(0,U57))</f>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f t="shared" ref="AN55:AU55" si="1">MIN(MAX(0,AN56),MAX(0,AN57))</f>
        <v>0</v>
      </c>
      <c r="AO55" s="116">
        <f t="shared" si="1"/>
        <v>0</v>
      </c>
      <c r="AP55" s="116">
        <f t="shared" si="1"/>
        <v>0</v>
      </c>
      <c r="AQ55" s="116">
        <f t="shared" si="1"/>
        <v>0</v>
      </c>
      <c r="AR55" s="116">
        <f t="shared" si="1"/>
        <v>0</v>
      </c>
      <c r="AS55" s="115">
        <f t="shared" si="1"/>
        <v>0</v>
      </c>
      <c r="AT55" s="117">
        <f t="shared" si="1"/>
        <v>0</v>
      </c>
      <c r="AU55" s="117">
        <f t="shared" si="1"/>
        <v>0</v>
      </c>
      <c r="AV55" s="312"/>
      <c r="AW55" s="319"/>
    </row>
    <row r="56" spans="2:49" ht="11.85" customHeight="1" x14ac:dyDescent="0.2">
      <c r="B56" s="177" t="s">
        <v>120</v>
      </c>
      <c r="C56" s="138" t="s">
        <v>452</v>
      </c>
      <c r="D56" s="110">
        <v>1447771</v>
      </c>
      <c r="E56" s="111">
        <v>1409886.58</v>
      </c>
      <c r="F56" s="111"/>
      <c r="G56" s="111"/>
      <c r="H56" s="111"/>
      <c r="I56" s="110">
        <v>242703</v>
      </c>
      <c r="J56" s="110">
        <v>1639057</v>
      </c>
      <c r="K56" s="111">
        <v>1632133.32</v>
      </c>
      <c r="L56" s="111"/>
      <c r="M56" s="111"/>
      <c r="N56" s="111"/>
      <c r="O56" s="110"/>
      <c r="P56" s="110">
        <v>964784</v>
      </c>
      <c r="Q56" s="111">
        <v>962044.04</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v>2020174</v>
      </c>
      <c r="E57" s="111">
        <v>1989383.58</v>
      </c>
      <c r="F57" s="111"/>
      <c r="G57" s="111"/>
      <c r="H57" s="111"/>
      <c r="I57" s="110">
        <v>119085</v>
      </c>
      <c r="J57" s="110">
        <v>2518679</v>
      </c>
      <c r="K57" s="111">
        <v>2101214.16</v>
      </c>
      <c r="L57" s="111"/>
      <c r="M57" s="111"/>
      <c r="N57" s="111"/>
      <c r="O57" s="110"/>
      <c r="P57" s="110">
        <v>2139094</v>
      </c>
      <c r="Q57" s="111">
        <v>1899805.58</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231302275</v>
      </c>
      <c r="AT57" s="114">
        <v>1148181</v>
      </c>
      <c r="AU57" s="114"/>
      <c r="AV57" s="114"/>
      <c r="AW57" s="319"/>
    </row>
    <row r="58" spans="2:49" s="6" customFormat="1" x14ac:dyDescent="0.2">
      <c r="B58" s="185" t="s">
        <v>484</v>
      </c>
      <c r="C58" s="186"/>
      <c r="D58" s="187"/>
      <c r="E58" s="188">
        <v>31309896.490000002</v>
      </c>
      <c r="F58" s="188"/>
      <c r="G58" s="188"/>
      <c r="H58" s="188"/>
      <c r="I58" s="187">
        <v>31309897</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218" yWindow="6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445886691.06000006</v>
      </c>
      <c r="D5" s="119">
        <v>517200830.14947671</v>
      </c>
      <c r="E5" s="347"/>
      <c r="F5" s="347"/>
      <c r="G5" s="313"/>
      <c r="H5" s="118">
        <v>721143773.44000006</v>
      </c>
      <c r="I5" s="119">
        <v>719129729.26108611</v>
      </c>
      <c r="J5" s="347"/>
      <c r="K5" s="347"/>
      <c r="L5" s="313"/>
      <c r="M5" s="118">
        <v>462760522.70999986</v>
      </c>
      <c r="N5" s="119">
        <v>451896359.14866692</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v>1898163.6444702758</v>
      </c>
      <c r="AM5" s="347"/>
      <c r="AN5" s="349"/>
    </row>
    <row r="6" spans="1:40" s="10" customFormat="1" ht="25.5" x14ac:dyDescent="0.2">
      <c r="A6" s="143"/>
      <c r="B6" s="192" t="s">
        <v>311</v>
      </c>
      <c r="C6" s="110">
        <v>446575288.84199995</v>
      </c>
      <c r="D6" s="111">
        <v>515841420.06891233</v>
      </c>
      <c r="E6" s="116">
        <f>SUM('Pt 1 Summary of Data'!E$12,'Pt 1 Summary of Data'!E$22)+SUM('Pt 1 Summary of Data'!G$12,'Pt 1 Summary of Data'!G$22)-SUM('Pt 1 Summary of Data'!H$12,'Pt 1 Summary of Data'!H$22)</f>
        <v>883170740.32649958</v>
      </c>
      <c r="F6" s="116">
        <f t="shared" ref="F6:F11" si="0">SUM(C6:E6)</f>
        <v>1845587449.237412</v>
      </c>
      <c r="G6" s="117">
        <f>SUM('Pt 1 Summary of Data'!I$12,'Pt 1 Summary of Data'!I$22)</f>
        <v>333985925</v>
      </c>
      <c r="H6" s="110">
        <v>721744395.00617588</v>
      </c>
      <c r="I6" s="111">
        <v>719508935.91058397</v>
      </c>
      <c r="J6" s="116">
        <f>SUM('Pt 1 Summary of Data'!K$12,'Pt 1 Summary of Data'!K$22)+SUM('Pt 1 Summary of Data'!M$12,'Pt 1 Summary of Data'!M$22)-SUM('Pt 1 Summary of Data'!N$12,'Pt 1 Summary of Data'!N$22)</f>
        <v>693991014.37031734</v>
      </c>
      <c r="K6" s="116">
        <f>SUM(H6:J6)</f>
        <v>2135244345.2870774</v>
      </c>
      <c r="L6" s="117">
        <f>SUM('Pt 1 Summary of Data'!O$12,'Pt 1 Summary of Data'!O$22)</f>
        <v>0</v>
      </c>
      <c r="M6" s="110">
        <v>444868786.42382383</v>
      </c>
      <c r="N6" s="111">
        <v>454264182.464333</v>
      </c>
      <c r="O6" s="116">
        <f>SUM('Pt 1 Summary of Data'!Q$12,'Pt 1 Summary of Data'!Q$22)+SUM('Pt 1 Summary of Data'!S$12,'Pt 1 Summary of Data'!S$22)-SUM('Pt 1 Summary of Data'!T$12,'Pt 1 Summary of Data'!T$22)</f>
        <v>378409298.98074859</v>
      </c>
      <c r="P6" s="116">
        <f>SUM(M6:O6)</f>
        <v>1277542267.8689055</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v>1792563.8660702759</v>
      </c>
      <c r="AM6" s="116">
        <f>SUM('Pt 1 Summary of Data'!AO$12,'Pt 1 Summary of Data'!AO$22)+SUM('Pt 1 Summary of Data'!AQ$12,'Pt 1 Summary of Data'!AQ$22)-SUM('Pt 1 Summary of Data'!AR$12,'Pt 1 Summary of Data'!AR$22)</f>
        <v>1631252.8721</v>
      </c>
      <c r="AN6" s="254">
        <f>IF(AM$37&lt;75000,AL6+AM6,AM6)</f>
        <v>3423816.7381702759</v>
      </c>
    </row>
    <row r="7" spans="1:40" x14ac:dyDescent="0.2">
      <c r="B7" s="192" t="s">
        <v>312</v>
      </c>
      <c r="C7" s="110">
        <v>11437455.880000003</v>
      </c>
      <c r="D7" s="111">
        <v>13535265.360000003</v>
      </c>
      <c r="E7" s="116">
        <f>SUM('Pt 1 Summary of Data'!E$37:E$41)+SUM('Pt 1 Summary of Data'!G$37:G$41)-SUM('Pt 1 Summary of Data'!H$37:H$41)+MAX(0,MIN('Pt 1 Summary of Data'!E$42+'Pt 1 Summary of Data'!G$42-'Pt 1 Summary of Data'!H$42,0.3%*('Pt 1 Summary of Data'!E$5+'Pt 1 Summary of Data'!G$5-'Pt 1 Summary of Data'!H$5-SUM(E$9:E$11))))</f>
        <v>12229980.150000004</v>
      </c>
      <c r="F7" s="116">
        <f t="shared" si="0"/>
        <v>37202701.390000008</v>
      </c>
      <c r="G7" s="117">
        <f>SUM('Pt 1 Summary of Data'!I$37:I$41)+MAX(0,MIN('Pt 1 Summary of Data'!I$42,0.3%*('Pt 1 Summary of Data'!I$5-SUM(G$9:G$10))))</f>
        <v>1983762</v>
      </c>
      <c r="H7" s="110">
        <v>19561194.699999999</v>
      </c>
      <c r="I7" s="111">
        <v>19207684.68</v>
      </c>
      <c r="J7" s="116">
        <f>SUM('Pt 1 Summary of Data'!K$37:K$41)+SUM('Pt 1 Summary of Data'!M$37:M$41)-SUM('Pt 1 Summary of Data'!N$37:N$41)+MAX(0,MIN('Pt 1 Summary of Data'!K$42+'Pt 1 Summary of Data'!M$42-'Pt 1 Summary of Data'!N$42,0.3%*('Pt 1 Summary of Data'!K$5+'Pt 1 Summary of Data'!M$5-'Pt 1 Summary of Data'!N$5-SUM(J$10:J$11))))</f>
        <v>17103704.600000005</v>
      </c>
      <c r="K7" s="116">
        <f>SUM(H7:J7)</f>
        <v>55872583.980000004</v>
      </c>
      <c r="L7" s="117">
        <f>SUM('Pt 1 Summary of Data'!O$37:O$41)+MAX(0,MIN('Pt 1 Summary of Data'!O$42,0.3%*('Pt 1 Summary of Data'!O$5-L$10)))</f>
        <v>0</v>
      </c>
      <c r="M7" s="110">
        <v>12213219.580000002</v>
      </c>
      <c r="N7" s="111">
        <v>10749066.109999998</v>
      </c>
      <c r="O7" s="116">
        <f>SUM('Pt 1 Summary of Data'!Q$37:Q$41)+SUM('Pt 1 Summary of Data'!S$37:S$41)-SUM('Pt 1 Summary of Data'!T$37:T$41)+MAX(0,MIN('Pt 1 Summary of Data'!Q$42+'Pt 1 Summary of Data'!S$42-'Pt 1 Summary of Data'!T$42,0.3%*('Pt 1 Summary of Data'!Q$5+'Pt 1 Summary of Data'!S$5-'Pt 1 Summary of Data'!T$5)))</f>
        <v>8584006.1999999993</v>
      </c>
      <c r="P7" s="116">
        <f>SUM(M7:O7)</f>
        <v>31546291.889999997</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v>60508.31</v>
      </c>
      <c r="AM7" s="116">
        <f>SUM('Pt 1 Summary of Data'!AO$37:AO$41)+SUM('Pt 1 Summary of Data'!AQ$37:AQ$41)-SUM('Pt 1 Summary of Data'!AR$37:AR$41)+MAX(0,MIN('Pt 1 Summary of Data'!AO$42+'Pt 1 Summary of Data'!AQ$42-'Pt 1 Summary of Data'!AR$42,0.3%*('Pt 1 Summary of Data'!AO$5+'Pt 1 Summary of Data'!AQ$5-'Pt 1 Summary of Data'!AR$5)))</f>
        <v>0</v>
      </c>
      <c r="AN7" s="254">
        <f>IF(AM$37&lt;75000,AL7+AM7,AM7)</f>
        <v>60508.31</v>
      </c>
    </row>
    <row r="8" spans="1:40" x14ac:dyDescent="0.2">
      <c r="B8" s="192" t="s">
        <v>483</v>
      </c>
      <c r="C8" s="294"/>
      <c r="D8" s="290"/>
      <c r="E8" s="270">
        <v>31309896.490000002</v>
      </c>
      <c r="F8" s="270">
        <f t="shared" si="0"/>
        <v>31309896.490000002</v>
      </c>
      <c r="G8" s="271">
        <v>31309897</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102852636.09999999</v>
      </c>
      <c r="F9" s="116">
        <f t="shared" si="0"/>
        <v>102852636.09999999</v>
      </c>
      <c r="G9" s="117">
        <f>'Pt 2 Premium and Claims'!I$15</f>
        <v>65323679</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40856769.57</v>
      </c>
      <c r="F10" s="116">
        <f t="shared" si="0"/>
        <v>40856769.57</v>
      </c>
      <c r="G10" s="117">
        <f>'Pt 2 Premium and Claims'!I$16</f>
        <v>13875877</v>
      </c>
      <c r="H10" s="293"/>
      <c r="I10" s="289"/>
      <c r="J10" s="116">
        <f>'Pt 2 Premium and Claims'!K$16+'Pt 2 Premium and Claims'!M$16-'Pt 2 Premium and Claims'!N$16</f>
        <v>3492212.8299999991</v>
      </c>
      <c r="K10" s="116">
        <f>SUM(H10:J10)</f>
        <v>3492212.8299999991</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15860421</v>
      </c>
      <c r="F11" s="116">
        <f t="shared" si="0"/>
        <v>15860421</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458012744.72199994</v>
      </c>
      <c r="D12" s="116">
        <f>SUM(D$6:D$7)+IF(AND(OR('Company Information'!$C$12="District of Columbia",'Company Information'!$C$12="Massachusetts",'Company Information'!$C$12="Vermont"),SUM($C$6:$F$11,$C$15:$F$16,$C$37:$D$37)&lt;&gt;0),SUM(I$6:I$7),0)</f>
        <v>529376685.42891234</v>
      </c>
      <c r="E12" s="116">
        <f>SUM(E$6:E$7)-SUM(E$8:E$11)+IF(AND(OR('Company Information'!$C$12="District of Columbia",'Company Information'!$C$12="Massachusetts",'Company Information'!$C$12="Vermont"),SUM($C$6:$F$11,$C$15:$F$16,$C$37:$D$37)&lt;&gt;0),SUM(J$6:J$7)-SUM(J$10:J$11),0)</f>
        <v>704520997.31649959</v>
      </c>
      <c r="F12" s="116">
        <f>IFERROR(SUM(C$12:E$12)+C$17*MAX(0,E$49-C$49)+D$17*MAX(0,E$49-D$49),0)</f>
        <v>1691910427.467412</v>
      </c>
      <c r="G12" s="312"/>
      <c r="H12" s="115">
        <f>SUM(H$6:H$7)+IF(AND(OR('Company Information'!$C$12="District of Columbia",'Company Information'!$C$12="Massachusetts",'Company Information'!$C$12="Vermont"),SUM($H$6:$K$11,$H$15:$K$16,$H$37:$I$37)&lt;&gt;0),SUM(C$6:C$7),0)</f>
        <v>741305589.70617592</v>
      </c>
      <c r="I12" s="116">
        <f>SUM(I$6:I$7)+IF(AND(OR('Company Information'!$C$12="District of Columbia",'Company Information'!$C$12="Massachusetts",'Company Information'!$C$12="Vermont"),SUM($H$6:$K$11,$H$15:$K$16,$H$37:$I$37)&lt;&gt;0),SUM(D$6:D$7),0)</f>
        <v>738716620.59058392</v>
      </c>
      <c r="J12" s="116">
        <f>SUM(J$6:J$7)-SUM(J$10:J$11)+IF(AND(OR('Company Information'!$C$12="District of Columbia",'Company Information'!$C$12="Massachusetts",'Company Information'!$C$12="Vermont"),SUM($H$6:$K$11,$H$15:$K$16,$H$37:$I$37)&lt;&gt;0),SUM(E$6:E$7)-SUM(E$8:E$11),0)</f>
        <v>707602506.14031732</v>
      </c>
      <c r="K12" s="116">
        <f>IFERROR(SUM(H$12:J$12)+H$17*MAX(0,J$49-H$49)+I$17*MAX(0,J$49-I$49),0)</f>
        <v>2187624716.437077</v>
      </c>
      <c r="L12" s="312"/>
      <c r="M12" s="115">
        <f>SUM(M$6:M$7)</f>
        <v>457082006.00382382</v>
      </c>
      <c r="N12" s="116">
        <f>SUM(N$6:N$7)</f>
        <v>465013248.57433301</v>
      </c>
      <c r="O12" s="116">
        <f>SUM(O$6:O$7)</f>
        <v>386993305.18074858</v>
      </c>
      <c r="P12" s="116">
        <f>SUM(M$12:O$12)+M$17*MAX(0,O$49-M$49)+N$17*MAX(0,O$49-N$49)</f>
        <v>1309088559.7589054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f>SUM(AL$6:AL$7)</f>
        <v>1853072.1760702759</v>
      </c>
      <c r="AM13" s="116">
        <f>SUM(AM$6:AM$7)</f>
        <v>1631252.8721</v>
      </c>
      <c r="AN13" s="254">
        <f>IF(AM$37&lt;75000,AL$13+AM$13,AM$13)</f>
        <v>3484325.048170276</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623805014.16999996</v>
      </c>
      <c r="D15" s="119">
        <v>655224152.58416355</v>
      </c>
      <c r="E15" s="107">
        <f>SUM('Pt 1 Summary of Data'!E$5:E$7)+SUM('Pt 1 Summary of Data'!G$5:G$7)-SUM('Pt 1 Summary of Data'!H$5:H$7)-SUM(E$9:E$11)+D$55</f>
        <v>883099644.2053684</v>
      </c>
      <c r="F15" s="107">
        <f>SUM(C15:E15)</f>
        <v>2162128810.9595318</v>
      </c>
      <c r="G15" s="108">
        <f>SUM('Pt 1 Summary of Data'!I$5:I$7)-SUM(G$9:G$10)</f>
        <v>249773991</v>
      </c>
      <c r="H15" s="118">
        <v>960391441.43000007</v>
      </c>
      <c r="I15" s="119">
        <v>946304405.5288136</v>
      </c>
      <c r="J15" s="107">
        <f>SUM('Pt 1 Summary of Data'!K$5:K$7)+SUM('Pt 1 Summary of Data'!M$5:M$7)-SUM('Pt 1 Summary of Data'!N$5:N$7)-SUM(J$10:J$11)+I$55</f>
        <v>905964305.9160862</v>
      </c>
      <c r="K15" s="107">
        <f>SUM(H15:J15)</f>
        <v>2812660152.8748999</v>
      </c>
      <c r="L15" s="108">
        <f>SUM('Pt 1 Summary of Data'!O$5:O$7)-L$10</f>
        <v>0</v>
      </c>
      <c r="M15" s="118">
        <v>541946632.04999995</v>
      </c>
      <c r="N15" s="119">
        <v>524053287.31422073</v>
      </c>
      <c r="O15" s="107">
        <f>SUM('Pt 1 Summary of Data'!Q$5:Q$7)+SUM('Pt 1 Summary of Data'!S$5:S$7)-SUM('Pt 1 Summary of Data'!T$5:T$7)+N$55</f>
        <v>459669044.61186999</v>
      </c>
      <c r="P15" s="107">
        <f>SUM(M15:O15)</f>
        <v>1525668963.9760907</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v>1872108.12</v>
      </c>
      <c r="AM15" s="107">
        <f>SUM('Pt 1 Summary of Data'!AO$5:AO$7)+SUM('Pt 1 Summary of Data'!AQ$5:AQ$7)-SUM('Pt 1 Summary of Data'!AR$5:AR$7)+AL$55</f>
        <v>1445398.09</v>
      </c>
      <c r="AN15" s="255">
        <f>IF(AM$37&lt;75000,AL15+AM15,AM15)</f>
        <v>3317506.21</v>
      </c>
    </row>
    <row r="16" spans="1:40" x14ac:dyDescent="0.2">
      <c r="B16" s="192" t="s">
        <v>313</v>
      </c>
      <c r="C16" s="110">
        <v>13138717.77</v>
      </c>
      <c r="D16" s="111">
        <v>7865751.3335599499</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42167018.856687076</v>
      </c>
      <c r="F16" s="116">
        <f>SUM(C16:E16)</f>
        <v>63171487.960247025</v>
      </c>
      <c r="G16" s="117">
        <f>SUM('Pt 1 Summary of Data'!I$25:I$28,'Pt 1 Summary of Data'!I$30,'Pt 1 Summary of Data'!I$34:I$35)+IF('Company Information'!$C$15="No",IF(MAX('Pt 1 Summary of Data'!I$31:I$32)=0,MIN('Pt 1 Summary of Data'!I$31:I$32),MAX('Pt 1 Summary of Data'!I$31:I$32)),SUM('Pt 1 Summary of Data'!I$31:I$32))</f>
        <v>20122888</v>
      </c>
      <c r="H16" s="110">
        <v>32514262.899999999</v>
      </c>
      <c r="I16" s="111">
        <v>36423167.635125652</v>
      </c>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56345154.79300566</v>
      </c>
      <c r="K16" s="116">
        <f>SUM(H16:J16)</f>
        <v>125282585.3281313</v>
      </c>
      <c r="L16" s="117">
        <f>SUM('Pt 1 Summary of Data'!O$25:O$28,'Pt 1 Summary of Data'!O$30,'Pt 1 Summary of Data'!O$34:O$35)+IF('Company Information'!$C$15="No",IF(MAX('Pt 1 Summary of Data'!O$31:O$32)=0,MIN('Pt 1 Summary of Data'!O$31:O$32),MAX('Pt 1 Summary of Data'!O$31:O$32)),SUM('Pt 1 Summary of Data'!O$31:O$32))</f>
        <v>0</v>
      </c>
      <c r="M16" s="110">
        <v>-17225.239999999176</v>
      </c>
      <c r="N16" s="111">
        <v>4157085.1416962706</v>
      </c>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10304755.62776747</v>
      </c>
      <c r="P16" s="116">
        <f>SUM(M16:O16)</f>
        <v>14444615.529463742</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-4801.191437092948</v>
      </c>
      <c r="AN16" s="254">
        <f>IF(AM$37&lt;75000,AL16+AM16,AM16)</f>
        <v>-4801.191437092948</v>
      </c>
    </row>
    <row r="17" spans="1:40" s="77" customFormat="1" x14ac:dyDescent="0.2">
      <c r="A17" s="144"/>
      <c r="B17" s="193" t="s">
        <v>320</v>
      </c>
      <c r="C17" s="115">
        <f>C$15-C$16+IF(AND(OR('Company Information'!$C$12="District of Columbia",'Company Information'!$C$12="Massachusetts",'Company Information'!$C$12="Vermont"),SUM($C$6:$F$11,$C$15:$F$16,$C$37:$D$37)&lt;&gt;0),H$15-H$16,0)</f>
        <v>610666296.39999998</v>
      </c>
      <c r="D17" s="116">
        <f>D$15-D$16+IF(AND(OR('Company Information'!$C$12="District of Columbia",'Company Information'!$C$12="Massachusetts",'Company Information'!$C$12="Vermont"),SUM($C$6:$F$11,$C$15:$F$16,$C$37:$D$37)&lt;&gt;0),I$15-I$16,0)</f>
        <v>647358401.25060356</v>
      </c>
      <c r="E17" s="116">
        <f>E$15-E$16+IF(AND(OR('Company Information'!$C$12="District of Columbia",'Company Information'!$C$12="Massachusetts",'Company Information'!$C$12="Vermont"),SUM($C$6:$F$11,$C$15:$F$16,$C$37:$D$37)&lt;&gt;0),J$15-J$16,0)</f>
        <v>840932625.34868133</v>
      </c>
      <c r="F17" s="116">
        <f>F$15-F$16+IF(AND(OR('Company Information'!$C$12="District of Columbia",'Company Information'!$C$12="Massachusetts",'Company Information'!$C$12="Vermont"),SUM($C$6:$F$11,$C$15:$F$16,$C$37:$D$37)&lt;&gt;0),K$15-K$16,0)</f>
        <v>2098957322.9992847</v>
      </c>
      <c r="G17" s="315"/>
      <c r="H17" s="115">
        <f>H$15-H$16+IF(AND(OR('Company Information'!$C$12="District of Columbia",'Company Information'!$C$12="Massachusetts",'Company Information'!$C$12="Vermont"),SUM($H$6:$K$11,$H$15:$K$16,$H$37:$I$37)&lt;&gt;0),C$15-C$16,0)</f>
        <v>927877178.53000009</v>
      </c>
      <c r="I17" s="116">
        <f>I$15-I$16+IF(AND(OR('Company Information'!$C$12="District of Columbia",'Company Information'!$C$12="Massachusetts",'Company Information'!$C$12="Vermont"),SUM($H$6:$K$11,$H$15:$K$16,$H$37:$I$37)&lt;&gt;0),D$15-D$16,0)</f>
        <v>909881237.89368796</v>
      </c>
      <c r="J17" s="116">
        <f>J$15-J$16+IF(AND(OR('Company Information'!$C$12="District of Columbia",'Company Information'!$C$12="Massachusetts",'Company Information'!$C$12="Vermont"),SUM($H$6:$K$11,$H$15:$K$16,$H$37:$I$37)&lt;&gt;0),E$15-E$16,0)</f>
        <v>849619151.12308049</v>
      </c>
      <c r="K17" s="116">
        <f>K$15-K$16+IF(AND(OR('Company Information'!$C$12="District of Columbia",'Company Information'!$C$12="Massachusetts",'Company Information'!$C$12="Vermont"),SUM($H$6:$K$11,$H$15:$K$16,$H$37:$I$37)&lt;&gt;0),F$15-F$16,0)</f>
        <v>2687377567.5467687</v>
      </c>
      <c r="L17" s="315"/>
      <c r="M17" s="115">
        <f>M$15-M$16</f>
        <v>541963857.28999996</v>
      </c>
      <c r="N17" s="116">
        <f>N$15-N$16</f>
        <v>519896202.17252445</v>
      </c>
      <c r="O17" s="116">
        <f>O$15-O$16</f>
        <v>449364288.98410255</v>
      </c>
      <c r="P17" s="116">
        <f>P$15-P$16</f>
        <v>1511224348.4466269</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f>AL$15-AL$16</f>
        <v>1872108.12</v>
      </c>
      <c r="AM17" s="116">
        <f>AM$15-AM$16</f>
        <v>1450199.2814370929</v>
      </c>
      <c r="AN17" s="254">
        <f>AN$15-AN$16</f>
        <v>3322307.401437093</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225460234</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34747621</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0.98175114795769125</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0.13830000000000001</v>
      </c>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38650280.634900004</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-30556752</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38650280.634900004</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93520789.634900004</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93520789.634900004</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97813856.144900009</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66053108.600000001</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156253201.3651</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66053108.600000001</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183720882.40000001</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1.2271889349471141</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32456166</v>
      </c>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15860421</v>
      </c>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313215.58333333331</v>
      </c>
      <c r="D37" s="123">
        <v>316703</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335189.58333333331</v>
      </c>
      <c r="F37" s="257">
        <f>SUM(C$37:E$37)+IF(AND(OR('Company Information'!$C$12="District of Columbia",'Company Information'!$C$12="Massachusetts",'Company Information'!$C$12="Vermont"),SUM($C$6:$F$11,$C$15:$F$16,$C$37:$D$37)&lt;&gt;0,SUM(C$37:D$37)&lt;&gt;SUM(H$37:I$37)),SUM(H$37:I$37),0)</f>
        <v>965108.16666666651</v>
      </c>
      <c r="G37" s="313"/>
      <c r="H37" s="122">
        <v>229328.91666666666</v>
      </c>
      <c r="I37" s="123">
        <v>219641</v>
      </c>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201597.58333333334</v>
      </c>
      <c r="K37" s="257">
        <f>SUM(H$37:J$37)+IF(AND(OR('Company Information'!$C$12="District of Columbia",'Company Information'!$C$12="Massachusetts",'Company Information'!$C$12="Vermont"),SUM($H$6:$K$11,$H$15:$K$16,$H$37:$I$37)&lt;&gt;0,SUM(H$37:I$37)&lt;&gt;SUM(C$37:D$37)),SUM(C$37:D$37),0)</f>
        <v>650567.5</v>
      </c>
      <c r="L37" s="313"/>
      <c r="M37" s="122">
        <v>131083.16666666669</v>
      </c>
      <c r="N37" s="123">
        <v>124629</v>
      </c>
      <c r="O37" s="257">
        <f>('Pt 1 Summary of Data'!Q$59+'Pt 1 Summary of Data'!S$59-'Pt 1 Summary of Data'!T$59)/12</f>
        <v>100264.66666666667</v>
      </c>
      <c r="P37" s="257">
        <f>SUM(M$37:O$37)</f>
        <v>355976.83333333337</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v>1192</v>
      </c>
      <c r="AM37" s="257">
        <f>('Pt 1 Summary of Data'!AO$59+'Pt 1 Summary of Data'!AQ$59-'Pt 1 Summary of Data'!AR$59)/12</f>
        <v>817.25</v>
      </c>
      <c r="AN37" s="258">
        <f>IF(AM$37&lt;75000,AL37+AM37,AM37)</f>
        <v>2009.25</v>
      </c>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6.2142166666666665E-2</v>
      </c>
    </row>
    <row r="39" spans="1:40" x14ac:dyDescent="0.2">
      <c r="B39" s="198" t="s">
        <v>323</v>
      </c>
      <c r="C39" s="293"/>
      <c r="D39" s="289"/>
      <c r="E39" s="289"/>
      <c r="F39" s="111">
        <v>112401.88592446997</v>
      </c>
      <c r="G39" s="312"/>
      <c r="H39" s="293"/>
      <c r="I39" s="289"/>
      <c r="J39" s="289"/>
      <c r="K39" s="111">
        <v>10936.017801003614</v>
      </c>
      <c r="L39" s="312"/>
      <c r="M39" s="293"/>
      <c r="N39" s="289"/>
      <c r="O39" s="289"/>
      <c r="P39" s="111">
        <v>15159.157724487075</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1.736</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1.736</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1.736</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f ca="1">IF(OR(AN$37&lt;1000,AN$37&gt;=75000),0,AN$38*AN$40)</f>
        <v>6.2142166666666665E-2</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f>IF(OR(C$37&lt;1000,C$17&lt;=0),"",C$12/C$17)</f>
        <v>0.75002132493978579</v>
      </c>
      <c r="D44" s="261">
        <f>IF(OR(D$37&lt;1000,D$17&lt;=0),"",D$12/D$17)</f>
        <v>0.81774900025431441</v>
      </c>
      <c r="E44" s="261">
        <f>IF(OR(E$37&lt;1000,E$17&lt;=0),"",E$12/E$17)</f>
        <v>0.83778530655102068</v>
      </c>
      <c r="F44" s="261">
        <f>IF(OR(F$37&lt;1000,F$17&lt;=0),"",F$12/F$17)</f>
        <v>0.80607185716847873</v>
      </c>
      <c r="G44" s="312"/>
      <c r="H44" s="263">
        <f>IF(OR(H$37&lt;1000,H$17&lt;=0),"",H$12/H$17)</f>
        <v>0.79892641705079726</v>
      </c>
      <c r="I44" s="261">
        <f>IF(OR(I$37&lt;1000,I$17&lt;=0),"",I$12/I$17)</f>
        <v>0.81188246314503831</v>
      </c>
      <c r="J44" s="261">
        <f>IF(OR(J$37&lt;1000,J$17&lt;=0),"",J$12/J$17)</f>
        <v>0.83284669984776527</v>
      </c>
      <c r="K44" s="261">
        <f>IF(OR(K$37&lt;1000,K$17&lt;=0),"",K$12/K$17)</f>
        <v>0.81403697896983562</v>
      </c>
      <c r="L44" s="312"/>
      <c r="M44" s="263">
        <f>IF(OR(M$37&lt;1000,M$17&lt;=0),"",M$12/M$17)</f>
        <v>0.84338097431328041</v>
      </c>
      <c r="N44" s="261">
        <f>IF(OR(N$37&lt;1000,N$17&lt;=0),"",N$12/N$17)</f>
        <v>0.89443478646535901</v>
      </c>
      <c r="O44" s="261">
        <f>IF(OR(O$37&lt;1000,O$17&lt;=0),"",O$12/O$17)</f>
        <v>0.86120173468977967</v>
      </c>
      <c r="P44" s="261">
        <f>IF(OR(P$37&lt;1000,P$17&lt;=0),"",P$12/P$17)</f>
        <v>0.8662436924765704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f>IF(OR(AL$37&lt;1000,AL$17&lt;=0),"",AL$13/AL$17)</f>
        <v>0.98983181381120011</v>
      </c>
      <c r="AM45" s="261" t="str">
        <f>IF(OR(AM$37&lt;1000,AM$17&lt;=0),"",AM$13/AM$17)</f>
        <v/>
      </c>
      <c r="AN45" s="262">
        <f>IF(OR(AN$37&lt;1000,AN$17&lt;=0),"",AN$13/AN$17)</f>
        <v>1.048766603193642</v>
      </c>
    </row>
    <row r="46" spans="1:40" x14ac:dyDescent="0.2">
      <c r="B46" s="198" t="s">
        <v>330</v>
      </c>
      <c r="C46" s="293"/>
      <c r="D46" s="289"/>
      <c r="E46" s="289"/>
      <c r="F46" s="261">
        <f>IF(F$44="","",F$41)</f>
        <v>0</v>
      </c>
      <c r="G46" s="312"/>
      <c r="H46" s="293"/>
      <c r="I46" s="289"/>
      <c r="J46" s="289"/>
      <c r="K46" s="261">
        <f>IF(K$44="","",K$41)</f>
        <v>0</v>
      </c>
      <c r="L46" s="312"/>
      <c r="M46" s="293"/>
      <c r="N46" s="289"/>
      <c r="O46" s="289"/>
      <c r="P46" s="261">
        <f>IF(P$44="","",P$41)</f>
        <v>0</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f ca="1">IF(AN$45="","",AN$41)</f>
        <v>6.2142166666666665E-2</v>
      </c>
    </row>
    <row r="47" spans="1:40" s="77" customFormat="1" x14ac:dyDescent="0.2">
      <c r="A47" s="144"/>
      <c r="B47" s="200" t="s">
        <v>329</v>
      </c>
      <c r="C47" s="293"/>
      <c r="D47" s="289"/>
      <c r="E47" s="289"/>
      <c r="F47" s="261">
        <f>IF(F$44="","",ROUND(F$44+MAX(0,F$46),3))</f>
        <v>0.80600000000000005</v>
      </c>
      <c r="G47" s="312"/>
      <c r="H47" s="293"/>
      <c r="I47" s="289"/>
      <c r="J47" s="289"/>
      <c r="K47" s="261">
        <f>IF(K$44="","",ROUND(K$44+MAX(0,K$46),3))</f>
        <v>0.81399999999999995</v>
      </c>
      <c r="L47" s="312"/>
      <c r="M47" s="293"/>
      <c r="N47" s="289"/>
      <c r="O47" s="289"/>
      <c r="P47" s="261">
        <f>IF(P$44="","",ROUND(P$44+MAX(0,P$46),3))</f>
        <v>0.86599999999999999</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f ca="1">IF(AN$45="","",ROUND(AN$45+MAX(0,AN$46),3))</f>
        <v>1.111</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v>
      </c>
      <c r="D49" s="142">
        <v>0</v>
      </c>
      <c r="E49" s="142">
        <v>0</v>
      </c>
      <c r="F49" s="142">
        <v>0</v>
      </c>
      <c r="G49" s="313"/>
      <c r="H49" s="141">
        <v>0</v>
      </c>
      <c r="I49" s="142">
        <v>0</v>
      </c>
      <c r="J49" s="142">
        <v>0</v>
      </c>
      <c r="K49" s="142">
        <v>0</v>
      </c>
      <c r="L49" s="313"/>
      <c r="M49" s="141">
        <v>0</v>
      </c>
      <c r="N49" s="142">
        <v>0</v>
      </c>
      <c r="O49" s="142">
        <v>0</v>
      </c>
      <c r="P49" s="142">
        <v>0</v>
      </c>
      <c r="Q49" s="141">
        <v>0</v>
      </c>
      <c r="R49" s="142">
        <v>0</v>
      </c>
      <c r="S49" s="142">
        <v>0</v>
      </c>
      <c r="T49" s="142">
        <v>0</v>
      </c>
      <c r="U49" s="141">
        <v>0</v>
      </c>
      <c r="V49" s="142">
        <v>0</v>
      </c>
      <c r="W49" s="142">
        <v>0</v>
      </c>
      <c r="X49" s="142">
        <v>0</v>
      </c>
      <c r="Y49" s="141">
        <v>0</v>
      </c>
      <c r="Z49" s="142">
        <v>0</v>
      </c>
      <c r="AA49" s="142">
        <v>0</v>
      </c>
      <c r="AB49" s="142">
        <v>0</v>
      </c>
      <c r="AC49" s="348"/>
      <c r="AD49" s="347"/>
      <c r="AE49" s="347"/>
      <c r="AF49" s="347"/>
      <c r="AG49" s="348"/>
      <c r="AH49" s="347"/>
      <c r="AI49" s="347"/>
      <c r="AJ49" s="347"/>
      <c r="AK49" s="348"/>
      <c r="AL49" s="142"/>
      <c r="AM49" s="142"/>
      <c r="AN49" s="203">
        <v>0.8</v>
      </c>
    </row>
    <row r="50" spans="1:40" s="10" customFormat="1" x14ac:dyDescent="0.2">
      <c r="A50" s="143"/>
      <c r="B50" s="198" t="s">
        <v>333</v>
      </c>
      <c r="C50" s="294"/>
      <c r="D50" s="290"/>
      <c r="E50" s="290"/>
      <c r="F50" s="261">
        <f>F$47</f>
        <v>0.80600000000000005</v>
      </c>
      <c r="G50" s="312"/>
      <c r="H50" s="294"/>
      <c r="I50" s="290"/>
      <c r="J50" s="290"/>
      <c r="K50" s="261">
        <f>K$47</f>
        <v>0.81399999999999995</v>
      </c>
      <c r="L50" s="312"/>
      <c r="M50" s="294"/>
      <c r="N50" s="290"/>
      <c r="O50" s="290"/>
      <c r="P50" s="261">
        <f>P$47</f>
        <v>0.86599999999999999</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f ca="1">AN$47</f>
        <v>1.111</v>
      </c>
    </row>
    <row r="51" spans="1:40" x14ac:dyDescent="0.2">
      <c r="B51" s="196" t="s">
        <v>334</v>
      </c>
      <c r="C51" s="293"/>
      <c r="D51" s="289"/>
      <c r="E51" s="289"/>
      <c r="F51" s="116">
        <f>IF(F$37&lt;1000,"",MAX(0,E$15-E$16))</f>
        <v>840932625.34868133</v>
      </c>
      <c r="G51" s="312"/>
      <c r="H51" s="293"/>
      <c r="I51" s="289"/>
      <c r="J51" s="289"/>
      <c r="K51" s="116">
        <f>IF(K$37&lt;1000,"",MAX(0,J$15-J$16))</f>
        <v>849619151.12308049</v>
      </c>
      <c r="L51" s="312"/>
      <c r="M51" s="293"/>
      <c r="N51" s="289"/>
      <c r="O51" s="289"/>
      <c r="P51" s="116">
        <f>IF(P$37&lt;1000,"",MAX(0,O$15-O$16))</f>
        <v>449364288.98410255</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f>IF(AN$37&lt;1000,"",MAX(0,AM$15-AM$16))</f>
        <v>1450199.2814370929</v>
      </c>
    </row>
    <row r="52" spans="1:40" s="77" customFormat="1" ht="26.25" customHeight="1" x14ac:dyDescent="0.2">
      <c r="A52" s="144"/>
      <c r="B52" s="193" t="s">
        <v>335</v>
      </c>
      <c r="C52" s="293"/>
      <c r="D52" s="289"/>
      <c r="E52" s="289"/>
      <c r="F52" s="116">
        <v>16356410.4264</v>
      </c>
      <c r="G52" s="312"/>
      <c r="H52" s="293"/>
      <c r="I52" s="289"/>
      <c r="J52" s="289"/>
      <c r="K52" s="116">
        <v>5319187.1040000003</v>
      </c>
      <c r="L52" s="312"/>
      <c r="M52" s="293"/>
      <c r="N52" s="289"/>
      <c r="O52" s="289"/>
      <c r="P52" s="116">
        <v>2949875.0978000001</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f ca="1">IF(OR(AN$37&lt;1000,AN$17&lt;=0),0,MAX(0,AN$49-AN$50)*AN$51)</f>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4919703.3826340921</v>
      </c>
      <c r="E55" s="289"/>
      <c r="F55" s="289"/>
      <c r="G55" s="312"/>
      <c r="H55" s="293"/>
      <c r="I55" s="111">
        <v>4697196.6236718083</v>
      </c>
      <c r="J55" s="289"/>
      <c r="K55" s="289"/>
      <c r="L55" s="312"/>
      <c r="M55" s="293"/>
      <c r="N55" s="111">
        <v>1979640.2222827689</v>
      </c>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91913.142400461336</v>
      </c>
      <c r="E56" s="289"/>
      <c r="F56" s="289"/>
      <c r="G56" s="312"/>
      <c r="H56" s="293"/>
      <c r="I56" s="111">
        <v>182615.06730320852</v>
      </c>
      <c r="J56" s="289"/>
      <c r="K56" s="289"/>
      <c r="L56" s="312"/>
      <c r="M56" s="293"/>
      <c r="N56" s="111">
        <v>12424.142231059155</v>
      </c>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179189</v>
      </c>
      <c r="D4" s="150">
        <f>'Pt 1 Summary of Data'!$K$56+'Pt 1 Summary of Data'!$M$56-'Pt 1 Summary of Data'!$N$56</f>
        <v>113010</v>
      </c>
      <c r="E4" s="150">
        <f>'Pt 1 Summary of Data'!$Q$56+'Pt 1 Summary of Data'!$S$56-'Pt 1 Summary of Data'!$T$56</f>
        <v>50942</v>
      </c>
      <c r="F4" s="150">
        <f>'Pt 1 Summary of Data'!$V$56</f>
        <v>0</v>
      </c>
      <c r="G4" s="150">
        <f>'Pt 1 Summary of Data'!$Y$56</f>
        <v>0</v>
      </c>
      <c r="H4" s="150">
        <f>'Pt 1 Summary of Data'!$AB$56</f>
        <v>0</v>
      </c>
      <c r="I4" s="365"/>
      <c r="J4" s="365"/>
      <c r="K4" s="209">
        <f>'Pt 1 Summary of Data'!$AO$56+'Pt 1 Summary of Data'!$AQ$56-'Pt 1 Summary of Data'!$AR$56</f>
        <v>328</v>
      </c>
    </row>
    <row r="5" spans="2:11" ht="16.5" x14ac:dyDescent="0.25">
      <c r="B5" s="206" t="s">
        <v>348</v>
      </c>
      <c r="C5" s="264"/>
      <c r="D5" s="265"/>
      <c r="E5" s="265"/>
      <c r="F5" s="265"/>
      <c r="G5" s="265"/>
      <c r="H5" s="265"/>
      <c r="I5" s="265"/>
      <c r="J5" s="265"/>
      <c r="K5" s="266"/>
    </row>
    <row r="6" spans="2:11" x14ac:dyDescent="0.2">
      <c r="B6" s="207" t="s">
        <v>101</v>
      </c>
      <c r="C6" s="363"/>
      <c r="D6" s="124">
        <v>3372</v>
      </c>
      <c r="E6" s="124">
        <v>194</v>
      </c>
      <c r="F6" s="364"/>
      <c r="G6" s="124"/>
      <c r="H6" s="124"/>
      <c r="I6" s="364"/>
      <c r="J6" s="364"/>
      <c r="K6" s="373"/>
    </row>
    <row r="7" spans="2:11" x14ac:dyDescent="0.2">
      <c r="B7" s="156" t="s">
        <v>102</v>
      </c>
      <c r="C7" s="125">
        <v>88734</v>
      </c>
      <c r="D7" s="127">
        <v>366</v>
      </c>
      <c r="E7" s="127">
        <v>257</v>
      </c>
      <c r="F7" s="127"/>
      <c r="G7" s="127"/>
      <c r="H7" s="127"/>
      <c r="I7" s="375"/>
      <c r="J7" s="375"/>
      <c r="K7" s="210"/>
    </row>
    <row r="8" spans="2:11" x14ac:dyDescent="0.2">
      <c r="B8" s="156" t="s">
        <v>103</v>
      </c>
      <c r="C8" s="362"/>
      <c r="D8" s="127">
        <v>37</v>
      </c>
      <c r="E8" s="127">
        <v>4</v>
      </c>
      <c r="F8" s="365"/>
      <c r="G8" s="127"/>
      <c r="H8" s="127"/>
      <c r="I8" s="375"/>
      <c r="J8" s="375"/>
      <c r="K8" s="374"/>
    </row>
    <row r="9" spans="2:11" ht="13.15" customHeight="1" x14ac:dyDescent="0.2">
      <c r="B9" s="156" t="s">
        <v>104</v>
      </c>
      <c r="C9" s="125">
        <v>4661</v>
      </c>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16356410.4264</v>
      </c>
      <c r="D11" s="120">
        <f>'Pt 3 MLR and Rebate Calculation'!$K$52</f>
        <v>5319187.1040000003</v>
      </c>
      <c r="E11" s="120">
        <f>'Pt 3 MLR and Rebate Calculation'!$P$52</f>
        <v>2949875.0978000001</v>
      </c>
      <c r="F11" s="120">
        <f>'Pt 3 MLR and Rebate Calculation'!$T$52</f>
        <v>0</v>
      </c>
      <c r="G11" s="120">
        <f>'Pt 3 MLR and Rebate Calculation'!$X$52</f>
        <v>0</v>
      </c>
      <c r="H11" s="120">
        <f>'Pt 3 MLR and Rebate Calculation'!$AB$52</f>
        <v>0</v>
      </c>
      <c r="I11" s="313"/>
      <c r="J11" s="313"/>
      <c r="K11" s="366">
        <f ca="1">'Pt 3 MLR and Rebate Calculation'!$AN$52</f>
        <v>0</v>
      </c>
    </row>
    <row r="12" spans="2:11" x14ac:dyDescent="0.2">
      <c r="B12" s="208" t="s">
        <v>93</v>
      </c>
      <c r="C12" s="110">
        <v>2554.7800000000007</v>
      </c>
      <c r="D12" s="114">
        <v>-35.489999999999995</v>
      </c>
      <c r="E12" s="114">
        <v>788.99</v>
      </c>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16356410.4264</v>
      </c>
      <c r="D14" s="114">
        <v>5319187.1040000003</v>
      </c>
      <c r="E14" s="114">
        <v>2949875.0978000001</v>
      </c>
      <c r="F14" s="114"/>
      <c r="G14" s="114"/>
      <c r="H14" s="114"/>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7284393.7925680382</v>
      </c>
      <c r="D16" s="120">
        <v>7126228.699011445</v>
      </c>
      <c r="E16" s="120">
        <v>1107836.2721144878</v>
      </c>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v>1</v>
      </c>
      <c r="D18" s="140">
        <v>1</v>
      </c>
      <c r="E18" s="140">
        <v>1</v>
      </c>
      <c r="F18" s="140"/>
      <c r="G18" s="140"/>
      <c r="H18" s="140"/>
      <c r="I18" s="354"/>
      <c r="J18" s="354"/>
      <c r="K18" s="368"/>
    </row>
    <row r="19" spans="2:12" ht="25.5" x14ac:dyDescent="0.2">
      <c r="B19" s="156" t="s">
        <v>208</v>
      </c>
      <c r="C19" s="352"/>
      <c r="D19" s="140">
        <v>1</v>
      </c>
      <c r="E19" s="140">
        <v>1</v>
      </c>
      <c r="F19" s="371"/>
      <c r="G19" s="140"/>
      <c r="H19" s="140"/>
      <c r="I19" s="354"/>
      <c r="J19" s="354"/>
      <c r="K19" s="372"/>
    </row>
    <row r="20" spans="2:12" ht="25.5" x14ac:dyDescent="0.2">
      <c r="B20" s="156" t="s">
        <v>209</v>
      </c>
      <c r="C20" s="370">
        <v>1</v>
      </c>
      <c r="D20" s="140">
        <v>1</v>
      </c>
      <c r="E20" s="140">
        <v>1</v>
      </c>
      <c r="F20" s="140"/>
      <c r="G20" s="140"/>
      <c r="H20" s="140"/>
      <c r="I20" s="354"/>
      <c r="J20" s="354"/>
      <c r="K20" s="368"/>
    </row>
    <row r="21" spans="2:12" ht="25.5" x14ac:dyDescent="0.2">
      <c r="B21" s="156" t="s">
        <v>210</v>
      </c>
      <c r="C21" s="352"/>
      <c r="D21" s="140">
        <v>1</v>
      </c>
      <c r="E21" s="140">
        <v>1</v>
      </c>
      <c r="F21" s="371"/>
      <c r="G21" s="140"/>
      <c r="H21" s="140"/>
      <c r="I21" s="354"/>
      <c r="J21" s="354"/>
      <c r="K21" s="372"/>
    </row>
    <row r="22" spans="2:12" s="6" customFormat="1" x14ac:dyDescent="0.2">
      <c r="B22" s="212" t="s">
        <v>211</v>
      </c>
      <c r="C22" s="187">
        <v>665348.61000000034</v>
      </c>
      <c r="D22" s="213">
        <v>192786.52</v>
      </c>
      <c r="E22" s="213">
        <v>14812.52</v>
      </c>
      <c r="F22" s="213"/>
      <c r="G22" s="213"/>
      <c r="H22" s="213"/>
      <c r="I22" s="360"/>
      <c r="J22" s="360"/>
      <c r="K22" s="369"/>
    </row>
    <row r="23" spans="2:12" s="6" customFormat="1" ht="100.15" customHeight="1" x14ac:dyDescent="0.2">
      <c r="B23" s="103" t="s">
        <v>212</v>
      </c>
      <c r="C23" s="382" t="s">
        <v>536</v>
      </c>
      <c r="D23" s="383"/>
      <c r="E23" s="383"/>
      <c r="F23" s="383"/>
      <c r="G23" s="383"/>
      <c r="H23" s="383"/>
      <c r="I23" s="383"/>
      <c r="J23" s="383"/>
      <c r="K23" s="384"/>
    </row>
    <row r="24" spans="2:12" s="6" customFormat="1" ht="100.15" customHeight="1" x14ac:dyDescent="0.2">
      <c r="B24" s="102" t="s">
        <v>213</v>
      </c>
      <c r="C24" s="385" t="s">
        <v>537</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t="s">
        <v>506</v>
      </c>
      <c r="C9" s="29"/>
      <c r="D9" s="30"/>
      <c r="E9" s="30"/>
      <c r="F9" s="30"/>
      <c r="G9" s="30"/>
      <c r="H9" s="30"/>
      <c r="I9" s="28"/>
      <c r="J9" s="28"/>
      <c r="K9" s="3"/>
    </row>
    <row r="10" spans="1:12" s="6" customFormat="1" ht="18" customHeight="1" x14ac:dyDescent="0.2">
      <c r="B10" s="67" t="s">
        <v>507</v>
      </c>
      <c r="C10" s="29"/>
      <c r="D10" s="30"/>
      <c r="E10" s="30"/>
      <c r="F10" s="30"/>
      <c r="G10" s="30"/>
      <c r="H10" s="30"/>
      <c r="I10" s="28"/>
      <c r="J10" s="28"/>
      <c r="K10" s="3"/>
    </row>
    <row r="11" spans="1:12" s="6" customFormat="1" ht="18" customHeight="1" x14ac:dyDescent="0.2">
      <c r="B11" s="67" t="s">
        <v>508</v>
      </c>
      <c r="C11" s="29"/>
      <c r="D11" s="30"/>
      <c r="E11" s="30"/>
      <c r="F11" s="30"/>
      <c r="G11" s="30"/>
      <c r="H11" s="30"/>
      <c r="I11" s="28"/>
      <c r="J11" s="28"/>
      <c r="K11" s="3"/>
    </row>
    <row r="12" spans="1:12" s="6" customFormat="1" ht="18" customHeight="1" x14ac:dyDescent="0.2">
      <c r="B12" s="67" t="s">
        <v>509</v>
      </c>
      <c r="C12" s="29"/>
      <c r="D12" s="30"/>
      <c r="E12" s="30"/>
      <c r="F12" s="30"/>
      <c r="G12" s="30"/>
      <c r="H12" s="30"/>
      <c r="I12" s="28"/>
      <c r="J12" s="28"/>
      <c r="K12" s="3"/>
    </row>
    <row r="13" spans="1:12" s="6" customFormat="1" ht="18" customHeight="1" x14ac:dyDescent="0.2">
      <c r="B13" s="67" t="s">
        <v>494</v>
      </c>
      <c r="C13" s="29"/>
      <c r="D13" s="30"/>
      <c r="E13" s="30"/>
      <c r="F13" s="30"/>
      <c r="G13" s="30"/>
      <c r="H13" s="30"/>
      <c r="I13" s="28"/>
      <c r="J13" s="28"/>
      <c r="K13" s="3"/>
    </row>
    <row r="14" spans="1:12" s="6" customFormat="1" ht="18" customHeight="1" x14ac:dyDescent="0.2">
      <c r="B14" s="67" t="s">
        <v>510</v>
      </c>
      <c r="C14" s="29"/>
      <c r="D14" s="30"/>
      <c r="E14" s="30"/>
      <c r="F14" s="30"/>
      <c r="G14" s="30"/>
      <c r="H14" s="30"/>
      <c r="I14" s="28"/>
      <c r="J14" s="28"/>
      <c r="K14" s="3"/>
    </row>
    <row r="15" spans="1:12" s="6" customFormat="1" ht="18" customHeight="1" x14ac:dyDescent="0.2">
      <c r="B15" s="67" t="s">
        <v>511</v>
      </c>
      <c r="C15" s="29"/>
      <c r="D15" s="30"/>
      <c r="E15" s="30"/>
      <c r="F15" s="30"/>
      <c r="G15" s="30"/>
      <c r="H15" s="30"/>
      <c r="I15" s="28"/>
      <c r="J15" s="28"/>
      <c r="K15" s="3"/>
    </row>
    <row r="16" spans="1:12" s="6" customFormat="1" ht="18" customHeight="1" x14ac:dyDescent="0.2">
      <c r="B16" s="67" t="s">
        <v>512</v>
      </c>
      <c r="C16" s="29"/>
      <c r="D16" s="30"/>
      <c r="E16" s="30"/>
      <c r="F16" s="30"/>
      <c r="G16" s="30"/>
      <c r="H16" s="30"/>
      <c r="I16" s="28"/>
      <c r="J16" s="28"/>
      <c r="K16" s="3"/>
    </row>
    <row r="17" spans="2:11" s="6" customFormat="1" ht="18" customHeight="1" x14ac:dyDescent="0.2">
      <c r="B17" s="67" t="s">
        <v>513</v>
      </c>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504</v>
      </c>
      <c r="C36" s="1">
        <v>32143</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514</v>
      </c>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515</v>
      </c>
      <c r="E27" s="8"/>
    </row>
    <row r="28" spans="2:5" ht="35.25" customHeight="1" x14ac:dyDescent="0.2">
      <c r="B28" s="220"/>
      <c r="C28" s="151"/>
      <c r="D28" s="223" t="s">
        <v>516</v>
      </c>
      <c r="E28" s="8"/>
    </row>
    <row r="29" spans="2:5" ht="35.25" customHeight="1" x14ac:dyDescent="0.2">
      <c r="B29" s="220"/>
      <c r="C29" s="151"/>
      <c r="D29" s="223" t="s">
        <v>517</v>
      </c>
      <c r="E29" s="8"/>
    </row>
    <row r="30" spans="2:5" ht="35.25" customHeight="1" x14ac:dyDescent="0.2">
      <c r="B30" s="220"/>
      <c r="C30" s="151"/>
      <c r="D30" s="223" t="s">
        <v>518</v>
      </c>
      <c r="E30" s="8"/>
    </row>
    <row r="31" spans="2:5" ht="35.25" customHeight="1" x14ac:dyDescent="0.2">
      <c r="B31" s="220"/>
      <c r="C31" s="151"/>
      <c r="D31" s="223" t="s">
        <v>519</v>
      </c>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520</v>
      </c>
      <c r="E34" s="8"/>
    </row>
    <row r="35" spans="2:5" ht="35.25" customHeight="1" x14ac:dyDescent="0.2">
      <c r="B35" s="220"/>
      <c r="C35" s="151"/>
      <c r="D35" s="223" t="s">
        <v>521</v>
      </c>
      <c r="E35" s="8"/>
    </row>
    <row r="36" spans="2:5" ht="35.25" customHeight="1" x14ac:dyDescent="0.2">
      <c r="B36" s="220"/>
      <c r="C36" s="151"/>
      <c r="D36" s="223" t="s">
        <v>522</v>
      </c>
      <c r="E36" s="8"/>
    </row>
    <row r="37" spans="2:5" ht="35.25" customHeight="1" x14ac:dyDescent="0.2">
      <c r="B37" s="220"/>
      <c r="C37" s="151"/>
      <c r="D37" s="223" t="s">
        <v>523</v>
      </c>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524</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525</v>
      </c>
      <c r="E48" s="8"/>
    </row>
    <row r="49" spans="2:5" ht="35.25" customHeight="1" x14ac:dyDescent="0.2">
      <c r="B49" s="220"/>
      <c r="C49" s="151"/>
      <c r="D49" s="223" t="s">
        <v>526</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527</v>
      </c>
      <c r="E56" s="8"/>
    </row>
    <row r="57" spans="2:5" ht="35.25" customHeight="1" x14ac:dyDescent="0.2">
      <c r="B57" s="220"/>
      <c r="C57" s="153"/>
      <c r="D57" s="223" t="s">
        <v>528</v>
      </c>
      <c r="E57" s="8"/>
    </row>
    <row r="58" spans="2:5" ht="35.25" customHeight="1" x14ac:dyDescent="0.2">
      <c r="B58" s="220"/>
      <c r="C58" s="153"/>
      <c r="D58" s="223" t="s">
        <v>529</v>
      </c>
      <c r="E58" s="8"/>
    </row>
    <row r="59" spans="2:5" ht="35.25" customHeight="1" x14ac:dyDescent="0.2">
      <c r="B59" s="220"/>
      <c r="C59" s="153"/>
      <c r="D59" s="223" t="s">
        <v>530</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527</v>
      </c>
      <c r="E67" s="8"/>
    </row>
    <row r="68" spans="2:5" ht="35.25" customHeight="1" x14ac:dyDescent="0.2">
      <c r="B68" s="220"/>
      <c r="C68" s="153"/>
      <c r="D68" s="223" t="s">
        <v>528</v>
      </c>
      <c r="E68" s="8"/>
    </row>
    <row r="69" spans="2:5" ht="35.25" customHeight="1" x14ac:dyDescent="0.2">
      <c r="B69" s="220"/>
      <c r="C69" s="153"/>
      <c r="D69" s="223" t="s">
        <v>529</v>
      </c>
      <c r="E69" s="8"/>
    </row>
    <row r="70" spans="2:5" ht="35.25" customHeight="1" x14ac:dyDescent="0.2">
      <c r="B70" s="220"/>
      <c r="C70" s="153"/>
      <c r="D70" s="223" t="s">
        <v>530</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527</v>
      </c>
      <c r="E78" s="8"/>
    </row>
    <row r="79" spans="2:5" ht="35.25" customHeight="1" x14ac:dyDescent="0.2">
      <c r="B79" s="220"/>
      <c r="C79" s="153"/>
      <c r="D79" s="223" t="s">
        <v>528</v>
      </c>
      <c r="E79" s="8"/>
    </row>
    <row r="80" spans="2:5" ht="35.25" customHeight="1" x14ac:dyDescent="0.2">
      <c r="B80" s="220"/>
      <c r="C80" s="153"/>
      <c r="D80" s="223" t="s">
        <v>529</v>
      </c>
      <c r="E80" s="8"/>
    </row>
    <row r="81" spans="2:5" ht="35.25" customHeight="1" x14ac:dyDescent="0.2">
      <c r="B81" s="220"/>
      <c r="C81" s="153"/>
      <c r="D81" s="223" t="s">
        <v>530</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527</v>
      </c>
      <c r="E89" s="8"/>
    </row>
    <row r="90" spans="2:5" ht="35.25" customHeight="1" x14ac:dyDescent="0.2">
      <c r="B90" s="220"/>
      <c r="C90" s="153"/>
      <c r="D90" s="223" t="s">
        <v>528</v>
      </c>
      <c r="E90" s="8"/>
    </row>
    <row r="91" spans="2:5" ht="35.25" customHeight="1" x14ac:dyDescent="0.2">
      <c r="B91" s="220"/>
      <c r="C91" s="153"/>
      <c r="D91" s="223" t="s">
        <v>529</v>
      </c>
      <c r="E91" s="8"/>
    </row>
    <row r="92" spans="2:5" ht="35.25" customHeight="1" x14ac:dyDescent="0.2">
      <c r="B92" s="220"/>
      <c r="C92" s="153"/>
      <c r="D92" s="223" t="s">
        <v>530</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531</v>
      </c>
      <c r="E100" s="8"/>
    </row>
    <row r="101" spans="2:5" ht="35.25" customHeight="1" x14ac:dyDescent="0.2">
      <c r="B101" s="220"/>
      <c r="C101" s="153"/>
      <c r="D101" s="223" t="s">
        <v>532</v>
      </c>
      <c r="E101" s="8"/>
    </row>
    <row r="102" spans="2:5" ht="35.25" customHeight="1" x14ac:dyDescent="0.2">
      <c r="B102" s="220"/>
      <c r="C102" s="153"/>
      <c r="D102" s="223" t="s">
        <v>533</v>
      </c>
      <c r="E102" s="8"/>
    </row>
    <row r="103" spans="2:5" ht="35.25" customHeight="1" x14ac:dyDescent="0.2">
      <c r="B103" s="220"/>
      <c r="C103" s="153"/>
      <c r="D103" s="223" t="s">
        <v>534</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527</v>
      </c>
      <c r="E111" s="28"/>
    </row>
    <row r="112" spans="2:5" s="6" customFormat="1" ht="35.25" customHeight="1" x14ac:dyDescent="0.2">
      <c r="B112" s="220"/>
      <c r="C112" s="153"/>
      <c r="D112" s="223" t="s">
        <v>528</v>
      </c>
      <c r="E112" s="28"/>
    </row>
    <row r="113" spans="2:5" s="6" customFormat="1" ht="35.25" customHeight="1" x14ac:dyDescent="0.2">
      <c r="B113" s="220"/>
      <c r="C113" s="153"/>
      <c r="D113" s="223" t="s">
        <v>529</v>
      </c>
      <c r="E113" s="28"/>
    </row>
    <row r="114" spans="2:5" s="6" customFormat="1" ht="35.25" customHeight="1" x14ac:dyDescent="0.2">
      <c r="B114" s="220"/>
      <c r="C114" s="153"/>
      <c r="D114" s="223" t="s">
        <v>530</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527</v>
      </c>
      <c r="E123" s="8"/>
    </row>
    <row r="124" spans="2:5" s="6" customFormat="1" ht="35.25" customHeight="1" x14ac:dyDescent="0.2">
      <c r="B124" s="220"/>
      <c r="C124" s="151"/>
      <c r="D124" s="223" t="s">
        <v>528</v>
      </c>
      <c r="E124" s="28"/>
    </row>
    <row r="125" spans="2:5" s="6" customFormat="1" ht="35.25" customHeight="1" x14ac:dyDescent="0.2">
      <c r="B125" s="220"/>
      <c r="C125" s="151"/>
      <c r="D125" s="223" t="s">
        <v>529</v>
      </c>
      <c r="E125" s="28"/>
    </row>
    <row r="126" spans="2:5" s="6" customFormat="1" ht="35.25" customHeight="1" x14ac:dyDescent="0.2">
      <c r="B126" s="220"/>
      <c r="C126" s="151"/>
      <c r="D126" s="223" t="s">
        <v>530</v>
      </c>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527</v>
      </c>
      <c r="E134" s="28"/>
    </row>
    <row r="135" spans="2:5" s="6" customFormat="1" ht="35.25" customHeight="1" x14ac:dyDescent="0.2">
      <c r="B135" s="220"/>
      <c r="C135" s="151"/>
      <c r="D135" s="223" t="s">
        <v>528</v>
      </c>
      <c r="E135" s="28"/>
    </row>
    <row r="136" spans="2:5" s="6" customFormat="1" ht="35.25" customHeight="1" x14ac:dyDescent="0.2">
      <c r="B136" s="220"/>
      <c r="C136" s="151"/>
      <c r="D136" s="223" t="s">
        <v>529</v>
      </c>
      <c r="E136" s="28"/>
    </row>
    <row r="137" spans="2:5" s="6" customFormat="1" ht="35.25" customHeight="1" x14ac:dyDescent="0.2">
      <c r="B137" s="220"/>
      <c r="C137" s="151"/>
      <c r="D137" s="223" t="s">
        <v>530</v>
      </c>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528</v>
      </c>
      <c r="E145" s="28"/>
    </row>
    <row r="146" spans="2:5" s="6" customFormat="1" ht="35.25" customHeight="1" x14ac:dyDescent="0.2">
      <c r="B146" s="220"/>
      <c r="C146" s="151"/>
      <c r="D146" s="223" t="s">
        <v>529</v>
      </c>
      <c r="E146" s="28"/>
    </row>
    <row r="147" spans="2:5" s="6" customFormat="1" ht="35.25" customHeight="1" x14ac:dyDescent="0.2">
      <c r="B147" s="220"/>
      <c r="C147" s="151"/>
      <c r="D147" s="223" t="s">
        <v>530</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535</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528</v>
      </c>
      <c r="E167" s="28"/>
    </row>
    <row r="168" spans="2:5" s="6" customFormat="1" ht="35.25" customHeight="1" x14ac:dyDescent="0.2">
      <c r="B168" s="220"/>
      <c r="C168" s="151"/>
      <c r="D168" s="223" t="s">
        <v>529</v>
      </c>
      <c r="E168" s="28"/>
    </row>
    <row r="169" spans="2:5" s="6" customFormat="1" ht="35.25" customHeight="1" x14ac:dyDescent="0.2">
      <c r="B169" s="220"/>
      <c r="C169" s="151"/>
      <c r="D169" s="223" t="s">
        <v>530</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528</v>
      </c>
      <c r="E178" s="28"/>
    </row>
    <row r="179" spans="2:5" s="6" customFormat="1" ht="35.25" customHeight="1" x14ac:dyDescent="0.2">
      <c r="B179" s="220"/>
      <c r="C179" s="151"/>
      <c r="D179" s="223" t="s">
        <v>529</v>
      </c>
      <c r="E179" s="28"/>
    </row>
    <row r="180" spans="2:5" s="6" customFormat="1" ht="35.25" customHeight="1" x14ac:dyDescent="0.2">
      <c r="B180" s="220"/>
      <c r="C180" s="151"/>
      <c r="D180" s="223" t="s">
        <v>530</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524</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527</v>
      </c>
      <c r="E200" s="28"/>
    </row>
    <row r="201" spans="2:5" s="6" customFormat="1" ht="35.25" customHeight="1" x14ac:dyDescent="0.2">
      <c r="B201" s="220"/>
      <c r="C201" s="151"/>
      <c r="D201" s="223" t="s">
        <v>528</v>
      </c>
      <c r="E201" s="28"/>
    </row>
    <row r="202" spans="2:5" s="6" customFormat="1" ht="35.25" customHeight="1" x14ac:dyDescent="0.2">
      <c r="B202" s="220"/>
      <c r="C202" s="151"/>
      <c r="D202" s="223" t="s">
        <v>529</v>
      </c>
      <c r="E202" s="28"/>
    </row>
    <row r="203" spans="2:5" s="6" customFormat="1" ht="35.25" customHeight="1" x14ac:dyDescent="0.2">
      <c r="B203" s="220"/>
      <c r="C203" s="151"/>
      <c r="D203" s="223" t="s">
        <v>530</v>
      </c>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2015-07-23T17:34:30Z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