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AB38" i="10" s="1"/>
  <c r="Z45" i="10"/>
  <c r="Y45" i="10"/>
  <c r="X45" i="10"/>
  <c r="X47" i="10" s="1"/>
  <c r="X50" i="10" s="1"/>
  <c r="W45" i="10"/>
  <c r="V45" i="10"/>
  <c r="U45" i="10"/>
  <c r="T45" i="10"/>
  <c r="T46" i="10" s="1"/>
  <c r="S45" i="10"/>
  <c r="R45" i="10"/>
  <c r="Q45" i="10"/>
  <c r="P44" i="10"/>
  <c r="O44" i="10"/>
  <c r="N44" i="10"/>
  <c r="M44" i="10"/>
  <c r="K44" i="10"/>
  <c r="J44" i="10"/>
  <c r="K38" i="10" s="1"/>
  <c r="I44" i="10"/>
  <c r="H44" i="10"/>
  <c r="F44" i="10"/>
  <c r="E44" i="10"/>
  <c r="D44" i="10"/>
  <c r="C44" i="10"/>
  <c r="AB41" i="10"/>
  <c r="X41" i="10"/>
  <c r="T41" i="10"/>
  <c r="P41" i="10"/>
  <c r="K41" i="10"/>
  <c r="F41" i="10"/>
  <c r="AB40" i="10"/>
  <c r="X40" i="10"/>
  <c r="T40" i="10"/>
  <c r="P40" i="10"/>
  <c r="K40" i="10"/>
  <c r="F40" i="10"/>
  <c r="T38" i="10"/>
  <c r="P38" i="10"/>
  <c r="F38" i="10"/>
  <c r="AB37" i="10"/>
  <c r="AA37" i="10"/>
  <c r="X37" i="10"/>
  <c r="W37" i="10"/>
  <c r="T37" i="10"/>
  <c r="S37" i="10"/>
  <c r="P37" i="10"/>
  <c r="O37" i="10"/>
  <c r="K37" i="10"/>
  <c r="J37" i="10"/>
  <c r="F37" i="10"/>
  <c r="E37" i="10"/>
  <c r="L29" i="10"/>
  <c r="G29" i="10"/>
  <c r="L28" i="10"/>
  <c r="L25" i="10"/>
  <c r="L21" i="10"/>
  <c r="L20" i="10"/>
  <c r="G20" i="10"/>
  <c r="L19" i="10"/>
  <c r="L24" i="10" s="1"/>
  <c r="L23" i="10" s="1"/>
  <c r="L27" i="10" s="1"/>
  <c r="L31" i="10" s="1"/>
  <c r="L32" i="10" s="1"/>
  <c r="L33" i="10" s="1"/>
  <c r="AB17" i="10"/>
  <c r="AA17" i="10"/>
  <c r="Z17" i="10"/>
  <c r="AB13" i="10" s="1"/>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U13" i="10" s="1"/>
  <c r="T16" i="10"/>
  <c r="S16" i="10"/>
  <c r="P16" i="10"/>
  <c r="O16" i="10"/>
  <c r="L16" i="10"/>
  <c r="K16" i="10"/>
  <c r="J16" i="10"/>
  <c r="G16" i="10"/>
  <c r="F16" i="10"/>
  <c r="E16" i="10"/>
  <c r="AB15" i="10"/>
  <c r="AA15" i="10"/>
  <c r="X15" i="10"/>
  <c r="W15" i="10"/>
  <c r="T15" i="10"/>
  <c r="S15" i="10"/>
  <c r="Q13" i="10" s="1"/>
  <c r="P15" i="10"/>
  <c r="O15" i="10"/>
  <c r="L15" i="10"/>
  <c r="K15" i="10"/>
  <c r="J15" i="10"/>
  <c r="G15" i="10"/>
  <c r="F15" i="10"/>
  <c r="E15" i="10"/>
  <c r="C12" i="10" s="1"/>
  <c r="AA13" i="10"/>
  <c r="Z13" i="10"/>
  <c r="Y13" i="10"/>
  <c r="V13" i="10"/>
  <c r="O12" i="10"/>
  <c r="N12" i="10"/>
  <c r="M12" i="10"/>
  <c r="E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E7" i="10"/>
  <c r="F7" i="10" s="1"/>
  <c r="AB6" i="10"/>
  <c r="AA6" i="10"/>
  <c r="X6" i="10"/>
  <c r="W6" i="10"/>
  <c r="T6" i="10"/>
  <c r="S6" i="10"/>
  <c r="P6" i="10"/>
  <c r="O6" i="10"/>
  <c r="L6" i="10"/>
  <c r="K6" i="10"/>
  <c r="J6" i="10"/>
  <c r="G6" i="10"/>
  <c r="F6" i="10"/>
  <c r="E6" i="10"/>
  <c r="AU55" i="18"/>
  <c r="AU22" i="4" s="1"/>
  <c r="AT55" i="18"/>
  <c r="AS55" i="18"/>
  <c r="AC55" i="18"/>
  <c r="AC22" i="4" s="1"/>
  <c r="AB55" i="18"/>
  <c r="AA55" i="18"/>
  <c r="AA22" i="4" s="1"/>
  <c r="Z55" i="18"/>
  <c r="Z22" i="4" s="1"/>
  <c r="Y55" i="18"/>
  <c r="X55" i="18"/>
  <c r="X22" i="4" s="1"/>
  <c r="W55" i="18"/>
  <c r="W22" i="4" s="1"/>
  <c r="V55" i="18"/>
  <c r="U55" i="18"/>
  <c r="T55" i="18"/>
  <c r="T22" i="4" s="1"/>
  <c r="S55" i="18"/>
  <c r="R55" i="18"/>
  <c r="R22" i="4" s="1"/>
  <c r="Q55" i="18"/>
  <c r="Q22" i="4" s="1"/>
  <c r="P55" i="18"/>
  <c r="O55" i="18"/>
  <c r="N55" i="18"/>
  <c r="N22" i="4" s="1"/>
  <c r="M55" i="18"/>
  <c r="M22" i="4" s="1"/>
  <c r="L55" i="18"/>
  <c r="K55" i="18"/>
  <c r="K22" i="4" s="1"/>
  <c r="J55" i="18"/>
  <c r="J22" i="4" s="1"/>
  <c r="I55" i="18"/>
  <c r="I22" i="4" s="1"/>
  <c r="H55" i="18"/>
  <c r="H22" i="4" s="1"/>
  <c r="G55" i="18"/>
  <c r="G22" i="4" s="1"/>
  <c r="F55" i="18"/>
  <c r="F22" i="4" s="1"/>
  <c r="E55" i="18"/>
  <c r="E22" i="4" s="1"/>
  <c r="D55" i="18"/>
  <c r="D22" i="4" s="1"/>
  <c r="AU54" i="18"/>
  <c r="AU12" i="4" s="1"/>
  <c r="AT54" i="18"/>
  <c r="AS54" i="18"/>
  <c r="AC54" i="18"/>
  <c r="AC12" i="4" s="1"/>
  <c r="AB54" i="18"/>
  <c r="AB12" i="4" s="1"/>
  <c r="AA54" i="18"/>
  <c r="Z54" i="18"/>
  <c r="Y54" i="18"/>
  <c r="X54" i="18"/>
  <c r="X12" i="4" s="1"/>
  <c r="W54" i="18"/>
  <c r="V54" i="18"/>
  <c r="V12" i="4" s="1"/>
  <c r="U54" i="18"/>
  <c r="U12" i="4" s="1"/>
  <c r="T54" i="18"/>
  <c r="T12" i="4" s="1"/>
  <c r="S54" i="18"/>
  <c r="S12" i="4" s="1"/>
  <c r="R54" i="18"/>
  <c r="Q54" i="18"/>
  <c r="P54" i="18"/>
  <c r="P12" i="4" s="1"/>
  <c r="O54" i="18"/>
  <c r="O12" i="4" s="1"/>
  <c r="N54" i="18"/>
  <c r="N12" i="4" s="1"/>
  <c r="M54" i="18"/>
  <c r="M12" i="4" s="1"/>
  <c r="L54" i="18"/>
  <c r="L12" i="4" s="1"/>
  <c r="K54" i="18"/>
  <c r="K12" i="4" s="1"/>
  <c r="J54" i="18"/>
  <c r="J12" i="4" s="1"/>
  <c r="I54" i="18"/>
  <c r="I12" i="4" s="1"/>
  <c r="H54" i="18"/>
  <c r="H12" i="4" s="1"/>
  <c r="G54" i="18"/>
  <c r="G12" i="4" s="1"/>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B22" i="4"/>
  <c r="Y22" i="4"/>
  <c r="V22" i="4"/>
  <c r="U22" i="4"/>
  <c r="S22" i="4"/>
  <c r="P22" i="4"/>
  <c r="O22" i="4"/>
  <c r="L22" i="4"/>
  <c r="AT12" i="4"/>
  <c r="AS12" i="4"/>
  <c r="AA12" i="4"/>
  <c r="Z12" i="4"/>
  <c r="Y12" i="4"/>
  <c r="W12" i="4"/>
  <c r="R12" i="4"/>
  <c r="Q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4" i="10" s="1"/>
  <c r="G23" i="10" s="1"/>
  <c r="G27" i="10" s="1"/>
  <c r="G21" i="10"/>
  <c r="G25" i="10"/>
  <c r="G28" i="10"/>
  <c r="X38" i="10"/>
  <c r="X46" i="10"/>
  <c r="T47" i="10"/>
  <c r="T50" i="10" s="1"/>
  <c r="L26" i="10"/>
  <c r="L30" i="10" s="1"/>
  <c r="T13" i="10"/>
  <c r="P12" i="10"/>
  <c r="X13" i="10"/>
  <c r="W13" i="10"/>
  <c r="S13" i="10"/>
  <c r="R13" i="10"/>
  <c r="J12" i="10"/>
  <c r="H12" i="10"/>
  <c r="I12" i="10"/>
  <c r="D12" i="10"/>
  <c r="F12" i="10" s="1"/>
  <c r="G31" i="10" l="1"/>
  <c r="G32" i="10" s="1"/>
  <c r="G33" i="10" s="1"/>
  <c r="G26" i="10"/>
  <c r="G30" i="10" s="1"/>
  <c r="K12"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<sst xmlns="http://schemas.openxmlformats.org/spreadsheetml/2006/main" count="572" uniqueCount="511">
  <si>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</si>
  <si>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</si>
  <si>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</si>
  <si>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</si>
  <si>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</si>
  <si>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</si>
  <si>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</si>
  <si>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</si>
  <si>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</si>
  <si>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</si>
  <si>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</si>
  <si>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</si>
  <si>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</si>
  <si>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</si>
  <si>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</si>
  <si>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</si>
  <si>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</si>
  <si>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</si>
  <si>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</si>
  <si>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</si>
  <si>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</si>
  <si>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</si>
  <si>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</si>
  <si>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</si>
  <si>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</si>
  <si>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</si>
  <si>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</si>
  <si>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</si>
  <si>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</si>
  <si>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</si>
  <si>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</si>
  <si>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</si>
  <si>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</si>
  <si>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</si>
  <si>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</si>
  <si>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</si>
  <si>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</si>
  <si>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</si>
  <si>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</si>
  <si>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</si>
  <si>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</si>
  <si>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</si>
  <si>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</si>
  <si>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</si>
  <si>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</si>
  <si>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</si>
  <si>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</si>
  <si>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</si>
  <si>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</si>
  <si>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</si>
  <si>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</si>
  <si>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</si>
  <si>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</si>
  <si>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</si>
  <si>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</si>
  <si>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</si>
  <si>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</si>
  <si>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</si>
  <si>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</si>
  <si>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</si>
  <si>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</si>
  <si>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</si>
  <si>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</si>
  <si>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</si>
  <si>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</si>
  <si>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</si>
  <si>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</si>
  <si>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</si>
  <si>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</si>
  <si>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</si>
  <si>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</si>
  <si>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</si>
  <si>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</si>
  <si>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</si>
  <si>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</si>
  <si>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</si>
  <si>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</si>
  <si>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</si>
  <si>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</si>
  <si>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</si>
  <si>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</si>
  <si>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</si>
  <si>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</si>
  <si>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</si>
  <si>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</si>
  <si>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</si>
  <si>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</si>
  <si>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</si>
  <si>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</si>
  <si>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</si>
  <si>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</si>
  <si>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</si>
  <si>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</si>
  <si>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</si>
  <si>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</si>
  <si>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</si>
  <si>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</si>
  <si>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</si>
  <si>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</si>
  <si>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</si>
  <si>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</si>
  <si>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</si>
  <si>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</si>
  <si>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</si>
  <si>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</si>
  <si>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</si>
  <si>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</si>
  <si>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</si>
  <si>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</si>
  <si>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</si>
  <si>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</si>
  <si>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</si>
  <si>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</si>
  <si>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</si>
  <si>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</si>
  <si>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</si>
  <si>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</si>
  <si>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</si>
  <si>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</si>
  <si>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</si>
  <si>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</si>
  <si>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</si>
  <si>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</si>
  <si>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</si>
  <si>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</si>
  <si>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</si>
  <si>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</si>
  <si>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</si>
  <si>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</si>
  <si>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</si>
  <si>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</si>
  <si>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</si>
  <si>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</si>
  <si>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</si>
  <si>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</si>
  <si>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</si>
  <si>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</si>
  <si>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</si>
  <si>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</si>
  <si>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</si>
  <si>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</si>
  <si>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</si>
  <si>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</si>
  <si>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</si>
  <si>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</si>
  <si>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</si>
  <si>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</si>
  <si>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</si>
  <si>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</si>
  <si>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</si>
  <si>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</si>
  <si>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</si>
  <si>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</si>
  <si>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</si>
  <si>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</si>
  <si>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</si>
  <si>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</si>
  <si>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</si>
  <si>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</si>
  <si>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</si>
  <si>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</si>
  <si>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</si>
  <si>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</si>
  <si>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</si>
  <si>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</si>
  <si>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</si>
  <si>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</si>
  <si>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</si>
  <si>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</si>
  <si>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</si>
  <si>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</si>
  <si>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</si>
  <si>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</si>
  <si>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</si>
  <si>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</si>
  <si>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</si>
  <si>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</si>
  <si>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</si>
  <si>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</si>
  <si>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</si>
  <si>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</si>
  <si>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</si>
  <si>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</si>
  <si>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</si>
  <si>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</si>
  <si>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</si>
  <si>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</si>
  <si>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</si>
  <si>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</si>
  <si>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</si>
  <si>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</si>
  <si>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</si>
  <si>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</si>
  <si>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</si>
  <si>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</si>
  <si>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</si>
  <si>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</si>
  <si>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</si>
  <si>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</si>
  <si>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</si>
  <si>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</si>
  <si>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</si>
  <si>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</si>
  <si>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</si>
  <si>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</si>
  <si>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</si>
  <si>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</si>
  <si>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</si>
  <si>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</si>
  <si>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</si>
  <si>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</si>
  <si>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</si>
  <si>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</si>
  <si>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</si>
  <si>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</si>
  <si>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</si>
  <si>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</si>
  <si>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</si>
  <si>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</si>
  <si>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</si>
  <si>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</si>
  <si>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</si>
  <si>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</si>
  <si>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</si>
  <si>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</si>
  <si>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</si>
  <si>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</si>
  <si>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</si>
  <si>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</si>
  <si>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</si>
  <si>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</si>
  <si>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</si>
  <si>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</si>
  <si>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</si>
  <si>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</si>
  <si>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</si>
  <si>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</si>
  <si>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</si>
  <si>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</si>
  <si>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</si>
  <si>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</si>
  <si>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</si>
  <si>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</si>
  <si>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</si>
  <si>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</si>
  <si>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</si>
  <si>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</si>
  <si>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</si>
  <si>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</si>
  <si>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</si>
  <si>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</si>
  <si>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</si>
  <si>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</si>
  <si>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</si>
  <si>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</si>
  <si>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</si>
  <si>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</si>
  <si>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</si>
  <si>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</si>
  <si>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</si>
  <si>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</si>
  <si>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</si>
  <si>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</si>
  <si>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</si>
  <si>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</si>
  <si>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</si>
  <si>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</si>
  <si>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</si>
  <si>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</si>
  <si>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</si>
  <si>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</si>
  <si>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</si>
  <si>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</si>
  <si>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</si>
  <si>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</si>
  <si>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</si>
  <si>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</si>
  <si>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</si>
  <si>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</si>
  <si>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</si>
  <si>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</si>
  <si>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</si>
  <si>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</si>
  <si>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</si>
  <si>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</si>
  <si>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</si>
  <si>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</si>
  <si>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</si>
  <si>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</si>
  <si>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</si>
  <si>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</si>
  <si>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</si>
  <si>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</si>
  <si>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</si>
  <si>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</si>
  <si>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</si>
  <si>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</si>
  <si>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</si>
  <si>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</si>
  <si>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</si>
  <si>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</si>
  <si>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</si>
  <si>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</si>
  <si>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</si>
  <si>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</si>
  <si>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</si>
  <si>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</si>
  <si>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</si>
  <si>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</si>
  <si>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</si>
  <si>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</si>
  <si>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</si>
  <si>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</si>
  <si>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</si>
  <si>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</si>
  <si>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</si>
  <si>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</si>
  <si>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</si>
  <si>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</si>
  <si>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</si>
  <si>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</si>
  <si>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</si>
  <si>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</si>
  <si>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</si>
  <si>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</si>
  <si>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</si>
  <si>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</si>
  <si>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</si>
  <si>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</si>
  <si>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</si>
  <si>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</si>
  <si>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</si>
  <si>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</si>
  <si>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</si>
  <si>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</si>
  <si>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</si>
  <si>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</si>
  <si>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</si>
  <si>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</si>
  <si>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</si>
  <si>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</si>
  <si>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</si>
  <si>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</si>
  <si>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</si>
  <si>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</si>
  <si>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</si>
  <si>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</si>
  <si>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</si>
  <si>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</si>
  <si>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</si>
  <si>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</si>
  <si>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</si>
  <si>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</si>
  <si>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</si>
  <si>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</si>
  <si>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</si>
  <si>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</si>
  <si>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</si>
  <si>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</si>
  <si>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</si>
  <si>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</si>
  <si>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</si>
  <si>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</si>
  <si>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</si>
  <si>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</si>
  <si>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</si>
  <si>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</si>
  <si>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</si>
  <si>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</si>
  <si>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</si>
  <si>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</si>
  <si>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</si>
  <si>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</si>
  <si>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</si>
  <si>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</si>
  <si>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</si>
  <si>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</si>
  <si>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</si>
  <si>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</si>
  <si>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</si>
  <si>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</si>
  <si>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</si>
  <si>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</si>
  <si>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</si>
  <si>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</si>
  <si>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</si>
  <si>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</si>
  <si>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</si>
  <si>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</si>
  <si>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</si>
  <si>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</si>
  <si>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</si>
  <si>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</si>
  <si>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</si>
  <si>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</si>
  <si>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</si>
  <si>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</si>
  <si>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</si>
  <si>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</si>
  <si>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</si>
  <si>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</si>
  <si>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</si>
  <si>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</si>
  <si>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</si>
  <si>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</si>
  <si>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</si>
  <si>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</si>
  <si>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</si>
  <si>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</si>
  <si>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</si>
  <si>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</si>
  <si>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</si>
  <si>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</si>
  <si>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</si>
  <si>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</si>
  <si>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</si>
  <si>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</si>
  <si>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</si>
  <si>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</si>
  <si>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</si>
  <si>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</si>
  <si>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</si>
  <si>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</si>
  <si>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</si>
  <si>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</si>
  <si>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</si>
  <si>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</si>
  <si>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</si>
  <si>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</si>
  <si>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</si>
  <si>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</si>
  <si>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</si>
  <si>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</si>
  <si>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</si>
  <si>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</si>
  <si>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</si>
  <si>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</si>
  <si>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</si>
  <si>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</si>
  <si>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</si>
  <si>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</si>
  <si>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</si>
  <si>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</si>
  <si>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</si>
  <si>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</si>
  <si>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</si>
  <si>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</si>
  <si>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</si>
  <si>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</si>
  <si>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</si>
  <si>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</si>
  <si>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</si>
  <si>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</si>
  <si>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</si>
  <si>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</si>
  <si>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</si>
  <si>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</si>
  <si>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</si>
  <si>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</si>
  <si>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</si>
  <si>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</si>
  <si>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</si>
  <si>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</si>
  <si>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</si>
  <si>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</si>
  <si>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</si>
  <si>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</si>
  <si>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</si>
  <si>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</si>
  <si>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</si>
  <si>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</si>
  <si>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</si>
  <si>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</si>
  <si>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</si>
  <si>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</si>
  <si>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</si>
  <si>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</si>
  <si>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</si>
  <si>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</si>
  <si>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</si>
  <si>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</si>
  <si>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</si>
  <si>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</si>
  <si>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</si>
  <si>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</si>
  <si>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</si>
  <si>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</si>
  <si>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</si>
  <si>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</si>
  <si>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</si>
  <si>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</si>
  <si>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</si>
  <si>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</si>
  <si>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</si>
  <si>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</si>
  <si>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</si>
  <si>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</si>
  <si>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</si>
  <si>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</si>
  <si>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</si>
  <si>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</si>
  <si>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</si>
  <si>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</si>
  <si>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68303</t>
  </si>
  <si>
    <t>219</t>
  </si>
  <si>
    <t>Humana Employers Health Plan of Georgia, Inc.</t>
  </si>
  <si>
    <t>Humana Medical Plan, Inc.</t>
  </si>
  <si>
    <t>Humana Health Insurance Company of Florida, Inc.</t>
  </si>
  <si>
    <t>Humana Health Plan, Inc.</t>
  </si>
  <si>
    <t>Humana Health Plan of Texas, Inc.</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</si>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</sst>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154</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87156591</v>
      </c>
      <c r="E5" s="112">
        <f>SUM('Pt 2 Premium and Claims'!E$5,'Pt 2 Premium and Claims'!E$6,-'Pt 2 Premium and Claims'!E$7,-'Pt 2 Premium and Claims'!E$13,'Pt 2 Premium and Claims'!E$14:'Pt 2 Premium and Claims'!E$17)</f>
        <v>102749040.81999972</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27605696</v>
      </c>
      <c r="J5" s="111">
        <f>SUM('Pt 2 Premium and Claims'!J$5,'Pt 2 Premium and Claims'!J$6,-'Pt 2 Premium and Claims'!J$7,-'Pt 2 Premium and Claims'!J$13,'Pt 2 Premium and Claims'!J$14,'Pt 2 Premium and Claims'!J$16:'Pt 2 Premium and Claims'!J$17)</f>
        <v>238842004</v>
      </c>
      <c r="K5" s="112">
        <f>SUM('Pt 2 Premium and Claims'!K$5,'Pt 2 Premium and Claims'!K$6,-'Pt 2 Premium and Claims'!K$7,-'Pt 2 Premium and Claims'!K$13,'Pt 2 Premium and Claims'!K$14,'Pt 2 Premium and Claims'!K$16:'Pt 2 Premium and Claims'!K$17)</f>
        <v>240693119.49754253</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153204959</v>
      </c>
      <c r="Q5" s="112">
        <f>SUM('Pt 2 Premium and Claims'!Q$5,'Pt 2 Premium and Claims'!Q$6,-'Pt 2 Premium and Claims'!Q$7,-'Pt 2 Premium and Claims'!Q$13,'Pt 2 Premium and Claims'!Q$14)</f>
        <v>155526600.2812081</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428905850</v>
      </c>
      <c r="AT5" s="113">
        <f>SUM('Pt 2 Premium and Claims'!AT$5,'Pt 2 Premium and Claims'!AT$6,-'Pt 2 Premium and Claims'!AT$7,-'Pt 2 Premium and Claims'!AT$13,'Pt 2 Premium and Claims'!AT$14)</f>
        <v>21304369</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-150954</v>
      </c>
      <c r="E7" s="116">
        <v>-150954</v>
      </c>
      <c r="F7" s="116"/>
      <c r="G7" s="116"/>
      <c r="H7" s="116"/>
      <c r="I7" s="115"/>
      <c r="J7" s="115">
        <v>-448483</v>
      </c>
      <c r="K7" s="116">
        <v>-448483</v>
      </c>
      <c r="L7" s="116"/>
      <c r="M7" s="116"/>
      <c r="N7" s="116"/>
      <c r="O7" s="115"/>
      <c r="P7" s="115">
        <v>-338440</v>
      </c>
      <c r="Q7" s="116">
        <v>-337866.06931051495</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-19901</v>
      </c>
      <c r="AU7" s="119"/>
      <c r="AV7" s="317"/>
      <c r="AW7" s="324"/>
    </row>
    <row r="8" spans="1:49" ht="25.5" x14ac:dyDescent="0.2">
      <c r="B8" s="161" t="s">
        <v>225</v>
      </c>
      <c r="C8" s="68" t="s">
        <v>59</v>
      </c>
      <c r="D8" s="115">
        <v>-297268</v>
      </c>
      <c r="E8" s="295"/>
      <c r="F8" s="296"/>
      <c r="G8" s="296"/>
      <c r="H8" s="296"/>
      <c r="I8" s="299"/>
      <c r="J8" s="115">
        <v>-426957</v>
      </c>
      <c r="K8" s="295"/>
      <c r="L8" s="296"/>
      <c r="M8" s="296"/>
      <c r="N8" s="296"/>
      <c r="O8" s="299"/>
      <c r="P8" s="115">
        <v>-173803</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144824</v>
      </c>
      <c r="AT8" s="119">
        <v>-384915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75624659</v>
      </c>
      <c r="E12" s="112">
        <f>'Pt 2 Premium and Claims'!E$54</f>
        <v>84036077.382000014</v>
      </c>
      <c r="F12" s="112">
        <f>'Pt 2 Premium and Claims'!F$54</f>
        <v>0</v>
      </c>
      <c r="G12" s="112">
        <f>'Pt 2 Premium and Claims'!G$54</f>
        <v>0</v>
      </c>
      <c r="H12" s="112">
        <f>'Pt 2 Premium and Claims'!H$54</f>
        <v>0</v>
      </c>
      <c r="I12" s="111">
        <f>'Pt 2 Premium and Claims'!I$54</f>
        <v>34551602</v>
      </c>
      <c r="J12" s="111">
        <f>'Pt 2 Premium and Claims'!J$54</f>
        <v>195227443</v>
      </c>
      <c r="K12" s="112">
        <f>'Pt 2 Premium and Claims'!K$54</f>
        <v>193063081.47921285</v>
      </c>
      <c r="L12" s="112">
        <f>'Pt 2 Premium and Claims'!L$54</f>
        <v>0</v>
      </c>
      <c r="M12" s="112">
        <f>'Pt 2 Premium and Claims'!M$54</f>
        <v>0</v>
      </c>
      <c r="N12" s="112">
        <f>'Pt 2 Premium and Claims'!N$54</f>
        <v>0</v>
      </c>
      <c r="O12" s="111">
        <f>'Pt 2 Premium and Claims'!O$54</f>
        <v>0</v>
      </c>
      <c r="P12" s="111">
        <f>'Pt 2 Premium and Claims'!P$54</f>
        <v>140450470</v>
      </c>
      <c r="Q12" s="112">
        <f>'Pt 2 Premium and Claims'!Q$54</f>
        <v>139280145.11888722</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353724686</v>
      </c>
      <c r="AT12" s="113">
        <f>'Pt 2 Premium and Claims'!AT$54</f>
        <v>17161992</v>
      </c>
      <c r="AU12" s="113">
        <f>'Pt 2 Premium and Claims'!AU$54</f>
        <v>0</v>
      </c>
      <c r="AV12" s="318"/>
      <c r="AW12" s="323"/>
    </row>
    <row r="13" spans="1:49" ht="25.5" x14ac:dyDescent="0.2">
      <c r="B13" s="161" t="s">
        <v>230</v>
      </c>
      <c r="C13" s="68" t="s">
        <v>37</v>
      </c>
      <c r="D13" s="115">
        <v>11107483</v>
      </c>
      <c r="E13" s="116">
        <v>11334534.290000003</v>
      </c>
      <c r="F13" s="116"/>
      <c r="G13" s="295"/>
      <c r="H13" s="296"/>
      <c r="I13" s="115">
        <v>4875224</v>
      </c>
      <c r="J13" s="115">
        <v>32605923</v>
      </c>
      <c r="K13" s="116">
        <v>32882760.392042346</v>
      </c>
      <c r="L13" s="116"/>
      <c r="M13" s="295"/>
      <c r="N13" s="296"/>
      <c r="O13" s="115"/>
      <c r="P13" s="115">
        <v>21197468</v>
      </c>
      <c r="Q13" s="116">
        <v>21221137.747957639</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136828433</v>
      </c>
      <c r="AT13" s="119">
        <v>11733</v>
      </c>
      <c r="AU13" s="119"/>
      <c r="AV13" s="317"/>
      <c r="AW13" s="324"/>
    </row>
    <row r="14" spans="1:49" ht="25.5" x14ac:dyDescent="0.2">
      <c r="B14" s="161" t="s">
        <v>231</v>
      </c>
      <c r="C14" s="68" t="s">
        <v>6</v>
      </c>
      <c r="D14" s="115">
        <v>718596</v>
      </c>
      <c r="E14" s="116">
        <v>679159.38000000024</v>
      </c>
      <c r="F14" s="116"/>
      <c r="G14" s="294"/>
      <c r="H14" s="297"/>
      <c r="I14" s="115">
        <v>114142</v>
      </c>
      <c r="J14" s="115">
        <v>3219341</v>
      </c>
      <c r="K14" s="116">
        <v>3143408.1692908439</v>
      </c>
      <c r="L14" s="116"/>
      <c r="M14" s="294"/>
      <c r="N14" s="297"/>
      <c r="O14" s="115"/>
      <c r="P14" s="115">
        <v>2036300</v>
      </c>
      <c r="Q14" s="116">
        <v>2000565.6107091564</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38788792</v>
      </c>
      <c r="AT14" s="119">
        <v>1746</v>
      </c>
      <c r="AU14" s="119"/>
      <c r="AV14" s="317"/>
      <c r="AW14" s="324"/>
    </row>
    <row r="15" spans="1:49" ht="38.25" x14ac:dyDescent="0.2">
      <c r="B15" s="161" t="s">
        <v>232</v>
      </c>
      <c r="C15" s="68" t="s">
        <v>7</v>
      </c>
      <c r="D15" s="115">
        <v>2748</v>
      </c>
      <c r="E15" s="116">
        <v>2748</v>
      </c>
      <c r="F15" s="116"/>
      <c r="G15" s="294"/>
      <c r="H15" s="300"/>
      <c r="I15" s="115">
        <v>636</v>
      </c>
      <c r="J15" s="115">
        <v>7618</v>
      </c>
      <c r="K15" s="116">
        <v>7618</v>
      </c>
      <c r="L15" s="116"/>
      <c r="M15" s="294"/>
      <c r="N15" s="300"/>
      <c r="O15" s="115"/>
      <c r="P15" s="115">
        <v>4755</v>
      </c>
      <c r="Q15" s="116">
        <v>4755</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13497</v>
      </c>
      <c r="AT15" s="119">
        <v>669</v>
      </c>
      <c r="AU15" s="119"/>
      <c r="AV15" s="317"/>
      <c r="AW15" s="324"/>
    </row>
    <row r="16" spans="1:49" ht="25.5" x14ac:dyDescent="0.2">
      <c r="B16" s="161" t="s">
        <v>233</v>
      </c>
      <c r="C16" s="68" t="s">
        <v>61</v>
      </c>
      <c r="D16" s="115">
        <v>-9263751</v>
      </c>
      <c r="E16" s="295"/>
      <c r="F16" s="296"/>
      <c r="G16" s="297"/>
      <c r="H16" s="297"/>
      <c r="I16" s="299"/>
      <c r="J16" s="115">
        <v>-2009606</v>
      </c>
      <c r="K16" s="295"/>
      <c r="L16" s="296"/>
      <c r="M16" s="297"/>
      <c r="N16" s="297"/>
      <c r="O16" s="299"/>
      <c r="P16" s="115">
        <v>-21143</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13568</v>
      </c>
      <c r="AT16" s="119">
        <v>-364800</v>
      </c>
      <c r="AU16" s="119"/>
      <c r="AV16" s="317"/>
      <c r="AW16" s="324"/>
    </row>
    <row r="17" spans="1:49" x14ac:dyDescent="0.2">
      <c r="B17" s="161" t="s">
        <v>234</v>
      </c>
      <c r="C17" s="68" t="s">
        <v>62</v>
      </c>
      <c r="D17" s="115">
        <v>705469</v>
      </c>
      <c r="E17" s="294"/>
      <c r="F17" s="297"/>
      <c r="G17" s="297"/>
      <c r="H17" s="297"/>
      <c r="I17" s="298"/>
      <c r="J17" s="115">
        <v>89690</v>
      </c>
      <c r="K17" s="294"/>
      <c r="L17" s="297"/>
      <c r="M17" s="297"/>
      <c r="N17" s="297"/>
      <c r="O17" s="298"/>
      <c r="P17" s="115">
        <v>1031683</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-299780</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708552</v>
      </c>
      <c r="E19" s="294"/>
      <c r="F19" s="297"/>
      <c r="G19" s="297"/>
      <c r="H19" s="297"/>
      <c r="I19" s="298"/>
      <c r="J19" s="115">
        <v>89718</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211</v>
      </c>
      <c r="E20" s="294"/>
      <c r="F20" s="297"/>
      <c r="G20" s="297"/>
      <c r="H20" s="297"/>
      <c r="I20" s="298"/>
      <c r="J20" s="115">
        <v>28</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117833</v>
      </c>
      <c r="E22" s="121">
        <f>'Pt 2 Premium and Claims'!E$55</f>
        <v>117833</v>
      </c>
      <c r="F22" s="121">
        <f>'Pt 2 Premium and Claims'!F$55</f>
        <v>0</v>
      </c>
      <c r="G22" s="121">
        <f>'Pt 2 Premium and Claims'!G$55</f>
        <v>0</v>
      </c>
      <c r="H22" s="121">
        <f>'Pt 2 Premium and Claims'!H$55</f>
        <v>0</v>
      </c>
      <c r="I22" s="120">
        <f>'Pt 2 Premium and Claims'!I$55</f>
        <v>8628</v>
      </c>
      <c r="J22" s="120">
        <f>'Pt 2 Premium and Claims'!J$55</f>
        <v>429302</v>
      </c>
      <c r="K22" s="121">
        <f>'Pt 2 Premium and Claims'!K$55</f>
        <v>429302</v>
      </c>
      <c r="L22" s="121">
        <f>'Pt 2 Premium and Claims'!L$55</f>
        <v>0</v>
      </c>
      <c r="M22" s="121">
        <f>'Pt 2 Premium and Claims'!M$55</f>
        <v>0</v>
      </c>
      <c r="N22" s="121">
        <f>'Pt 2 Premium and Claims'!N$55</f>
        <v>0</v>
      </c>
      <c r="O22" s="120">
        <f>'Pt 2 Premium and Claims'!O$55</f>
        <v>0</v>
      </c>
      <c r="P22" s="120">
        <f>'Pt 2 Premium and Claims'!P$55</f>
        <v>320167</v>
      </c>
      <c r="Q22" s="121">
        <f>'Pt 2 Premium and Claims'!Q$55</f>
        <v>320160.62</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-665978.87529999996</v>
      </c>
      <c r="E25" s="116">
        <v>-861321.9253</v>
      </c>
      <c r="F25" s="116"/>
      <c r="G25" s="116"/>
      <c r="H25" s="116"/>
      <c r="I25" s="115">
        <v>-1962411</v>
      </c>
      <c r="J25" s="115">
        <v>1383748.534</v>
      </c>
      <c r="K25" s="116">
        <v>1383748.534</v>
      </c>
      <c r="L25" s="116"/>
      <c r="M25" s="116"/>
      <c r="N25" s="116"/>
      <c r="O25" s="115"/>
      <c r="P25" s="115">
        <v>-4698514.2379999999</v>
      </c>
      <c r="Q25" s="116">
        <v>-4690546.4401150849</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4365266.1380000003</v>
      </c>
      <c r="AT25" s="119">
        <v>177074.2095</v>
      </c>
      <c r="AU25" s="119"/>
      <c r="AV25" s="119"/>
      <c r="AW25" s="324"/>
    </row>
    <row r="26" spans="1:49" s="11" customFormat="1" x14ac:dyDescent="0.2">
      <c r="A26" s="41"/>
      <c r="B26" s="164" t="s">
        <v>243</v>
      </c>
      <c r="C26" s="68"/>
      <c r="D26" s="115"/>
      <c r="E26" s="116">
        <v>58965.33</v>
      </c>
      <c r="F26" s="116"/>
      <c r="G26" s="116"/>
      <c r="H26" s="116"/>
      <c r="I26" s="115">
        <v>4263</v>
      </c>
      <c r="J26" s="115"/>
      <c r="K26" s="116">
        <v>104538.82999999999</v>
      </c>
      <c r="L26" s="116"/>
      <c r="M26" s="116"/>
      <c r="N26" s="116"/>
      <c r="O26" s="115"/>
      <c r="P26" s="115"/>
      <c r="Q26" s="116">
        <v>68612.628216330384</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1090295.8799999999</v>
      </c>
      <c r="E27" s="116">
        <v>1090295.8799999999</v>
      </c>
      <c r="F27" s="116"/>
      <c r="G27" s="116"/>
      <c r="H27" s="116"/>
      <c r="I27" s="115">
        <v>208408</v>
      </c>
      <c r="J27" s="115">
        <v>2984658.2800000003</v>
      </c>
      <c r="K27" s="116">
        <v>2984658.2800000003</v>
      </c>
      <c r="L27" s="116"/>
      <c r="M27" s="116"/>
      <c r="N27" s="116"/>
      <c r="O27" s="115"/>
      <c r="P27" s="115">
        <v>1959635.2200000002</v>
      </c>
      <c r="Q27" s="116">
        <v>1956312.0466370592</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5361680.53</v>
      </c>
      <c r="AT27" s="119">
        <v>21308.71</v>
      </c>
      <c r="AU27" s="119"/>
      <c r="AV27" s="320"/>
      <c r="AW27" s="324"/>
    </row>
    <row r="28" spans="1:49" s="11" customFormat="1" x14ac:dyDescent="0.2">
      <c r="A28" s="41"/>
      <c r="B28" s="164" t="s">
        <v>245</v>
      </c>
      <c r="C28" s="68"/>
      <c r="D28" s="115">
        <v>1840711.4400000002</v>
      </c>
      <c r="E28" s="116">
        <v>291298.62999999995</v>
      </c>
      <c r="F28" s="116"/>
      <c r="G28" s="116"/>
      <c r="H28" s="116"/>
      <c r="I28" s="115">
        <v>20433</v>
      </c>
      <c r="J28" s="115">
        <v>3355772.7100000004</v>
      </c>
      <c r="K28" s="116">
        <v>420202.09</v>
      </c>
      <c r="L28" s="116"/>
      <c r="M28" s="116"/>
      <c r="N28" s="116"/>
      <c r="O28" s="115"/>
      <c r="P28" s="115">
        <v>2250080.7699999996</v>
      </c>
      <c r="Q28" s="116">
        <v>283879.01673284482</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29689.739999999998</v>
      </c>
      <c r="AT28" s="119">
        <v>20380.439999999999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-31953.24734000002</v>
      </c>
      <c r="E30" s="116">
        <v>-2101.457340000019</v>
      </c>
      <c r="F30" s="116"/>
      <c r="G30" s="116"/>
      <c r="H30" s="116"/>
      <c r="I30" s="115">
        <v>-131252</v>
      </c>
      <c r="J30" s="115">
        <v>149590.39428000004</v>
      </c>
      <c r="K30" s="116">
        <v>192873.52428000004</v>
      </c>
      <c r="L30" s="116"/>
      <c r="M30" s="116"/>
      <c r="N30" s="116"/>
      <c r="O30" s="115"/>
      <c r="P30" s="115">
        <v>-286172.73949999985</v>
      </c>
      <c r="Q30" s="116">
        <v>-256452.77499466643</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379672.84180000005</v>
      </c>
      <c r="AT30" s="119">
        <v>16564.86548</v>
      </c>
      <c r="AU30" s="119"/>
      <c r="AV30" s="119"/>
      <c r="AW30" s="324"/>
    </row>
    <row r="31" spans="1:49" x14ac:dyDescent="0.2">
      <c r="B31" s="164" t="s">
        <v>248</v>
      </c>
      <c r="C31" s="68"/>
      <c r="D31" s="115">
        <v>347890.8</v>
      </c>
      <c r="E31" s="116">
        <v>329298.23</v>
      </c>
      <c r="F31" s="116"/>
      <c r="G31" s="116"/>
      <c r="H31" s="116"/>
      <c r="I31" s="115">
        <v>44380</v>
      </c>
      <c r="J31" s="115">
        <v>935128.77</v>
      </c>
      <c r="K31" s="116">
        <v>935128.77</v>
      </c>
      <c r="L31" s="116"/>
      <c r="M31" s="116"/>
      <c r="N31" s="116"/>
      <c r="O31" s="115"/>
      <c r="P31" s="115">
        <v>609976.17000000004</v>
      </c>
      <c r="Q31" s="116">
        <v>608941.76495385438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78833.439999999988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1882510.56</v>
      </c>
      <c r="F34" s="116"/>
      <c r="G34" s="116"/>
      <c r="H34" s="116"/>
      <c r="I34" s="115">
        <v>111555</v>
      </c>
      <c r="J34" s="115"/>
      <c r="K34" s="116">
        <v>3232392.8800000004</v>
      </c>
      <c r="L34" s="116"/>
      <c r="M34" s="116"/>
      <c r="N34" s="116"/>
      <c r="O34" s="115"/>
      <c r="P34" s="115"/>
      <c r="Q34" s="116">
        <v>2168885.7691661394</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80456.510000000009</v>
      </c>
      <c r="E35" s="116">
        <v>277823.07999999996</v>
      </c>
      <c r="F35" s="116"/>
      <c r="G35" s="116"/>
      <c r="H35" s="116"/>
      <c r="I35" s="115">
        <v>203359</v>
      </c>
      <c r="J35" s="115">
        <v>119122.05</v>
      </c>
      <c r="K35" s="116">
        <v>125101.34</v>
      </c>
      <c r="L35" s="116"/>
      <c r="M35" s="116"/>
      <c r="N35" s="116"/>
      <c r="O35" s="115"/>
      <c r="P35" s="115">
        <v>80275.789999999994</v>
      </c>
      <c r="Q35" s="116">
        <v>80220.949243943658</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275403.64</v>
      </c>
      <c r="AT35" s="119">
        <v>13197.2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250033</v>
      </c>
      <c r="E37" s="124">
        <v>250032.54999999996</v>
      </c>
      <c r="F37" s="124"/>
      <c r="G37" s="124"/>
      <c r="H37" s="124"/>
      <c r="I37" s="123">
        <v>18219</v>
      </c>
      <c r="J37" s="123">
        <v>784553</v>
      </c>
      <c r="K37" s="124">
        <v>784550.13</v>
      </c>
      <c r="L37" s="124"/>
      <c r="M37" s="124"/>
      <c r="N37" s="124"/>
      <c r="O37" s="123"/>
      <c r="P37" s="123">
        <v>512616.99999999994</v>
      </c>
      <c r="Q37" s="124">
        <v>512115.64999999997</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3587538</v>
      </c>
      <c r="AT37" s="125">
        <v>1078</v>
      </c>
      <c r="AU37" s="125"/>
      <c r="AV37" s="125"/>
      <c r="AW37" s="323"/>
    </row>
    <row r="38" spans="1:49" x14ac:dyDescent="0.2">
      <c r="B38" s="161" t="s">
        <v>255</v>
      </c>
      <c r="C38" s="68" t="s">
        <v>16</v>
      </c>
      <c r="D38" s="115">
        <v>58745</v>
      </c>
      <c r="E38" s="116">
        <v>58744.929999999993</v>
      </c>
      <c r="F38" s="116"/>
      <c r="G38" s="116"/>
      <c r="H38" s="116"/>
      <c r="I38" s="115">
        <v>5874</v>
      </c>
      <c r="J38" s="115">
        <v>329698</v>
      </c>
      <c r="K38" s="116">
        <v>329696.28999999992</v>
      </c>
      <c r="L38" s="116"/>
      <c r="M38" s="116"/>
      <c r="N38" s="116"/>
      <c r="O38" s="115"/>
      <c r="P38" s="115">
        <v>215045</v>
      </c>
      <c r="Q38" s="116">
        <v>214675.46</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1807121</v>
      </c>
      <c r="AT38" s="119">
        <v>-5</v>
      </c>
      <c r="AU38" s="119"/>
      <c r="AV38" s="119"/>
      <c r="AW38" s="324"/>
    </row>
    <row r="39" spans="1:49" x14ac:dyDescent="0.2">
      <c r="B39" s="164" t="s">
        <v>256</v>
      </c>
      <c r="C39" s="68" t="s">
        <v>17</v>
      </c>
      <c r="D39" s="115">
        <v>105060</v>
      </c>
      <c r="E39" s="116">
        <v>105059.75</v>
      </c>
      <c r="F39" s="116"/>
      <c r="G39" s="116"/>
      <c r="H39" s="116"/>
      <c r="I39" s="115">
        <v>8174</v>
      </c>
      <c r="J39" s="115">
        <v>323965</v>
      </c>
      <c r="K39" s="116">
        <v>323963.73</v>
      </c>
      <c r="L39" s="116"/>
      <c r="M39" s="116"/>
      <c r="N39" s="116"/>
      <c r="O39" s="115"/>
      <c r="P39" s="115">
        <v>215584</v>
      </c>
      <c r="Q39" s="116">
        <v>215508.54</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1078139</v>
      </c>
      <c r="AT39" s="119">
        <v>4082</v>
      </c>
      <c r="AU39" s="119"/>
      <c r="AV39" s="119"/>
      <c r="AW39" s="324"/>
    </row>
    <row r="40" spans="1:49" x14ac:dyDescent="0.2">
      <c r="B40" s="164" t="s">
        <v>257</v>
      </c>
      <c r="C40" s="68" t="s">
        <v>38</v>
      </c>
      <c r="D40" s="115">
        <v>589588</v>
      </c>
      <c r="E40" s="116">
        <v>589587.60000000009</v>
      </c>
      <c r="F40" s="116"/>
      <c r="G40" s="116"/>
      <c r="H40" s="116"/>
      <c r="I40" s="115">
        <v>44644</v>
      </c>
      <c r="J40" s="115">
        <v>2345032</v>
      </c>
      <c r="K40" s="116">
        <v>2345029.9599999995</v>
      </c>
      <c r="L40" s="116"/>
      <c r="M40" s="116"/>
      <c r="N40" s="116"/>
      <c r="O40" s="115"/>
      <c r="P40" s="115">
        <v>1575861</v>
      </c>
      <c r="Q40" s="116">
        <v>1575418.05</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2410752</v>
      </c>
      <c r="AT40" s="119">
        <v>16705</v>
      </c>
      <c r="AU40" s="119"/>
      <c r="AV40" s="119"/>
      <c r="AW40" s="324"/>
    </row>
    <row r="41" spans="1:49" s="11" customFormat="1" ht="25.5" x14ac:dyDescent="0.2">
      <c r="A41" s="41"/>
      <c r="B41" s="164" t="s">
        <v>258</v>
      </c>
      <c r="C41" s="68" t="s">
        <v>129</v>
      </c>
      <c r="D41" s="115">
        <v>146266</v>
      </c>
      <c r="E41" s="116">
        <v>146265.54</v>
      </c>
      <c r="F41" s="116"/>
      <c r="G41" s="116"/>
      <c r="H41" s="116"/>
      <c r="I41" s="115">
        <v>5301</v>
      </c>
      <c r="J41" s="115">
        <v>218218</v>
      </c>
      <c r="K41" s="116">
        <v>218216.61000000002</v>
      </c>
      <c r="L41" s="116"/>
      <c r="M41" s="116"/>
      <c r="N41" s="116"/>
      <c r="O41" s="115"/>
      <c r="P41" s="115">
        <v>145533</v>
      </c>
      <c r="Q41" s="116">
        <v>145359.95000000001</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1504683</v>
      </c>
      <c r="AT41" s="119">
        <v>14794</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940037</v>
      </c>
      <c r="E44" s="124">
        <v>940037</v>
      </c>
      <c r="F44" s="124"/>
      <c r="G44" s="124"/>
      <c r="H44" s="124"/>
      <c r="I44" s="123">
        <v>99143</v>
      </c>
      <c r="J44" s="123">
        <v>3678875</v>
      </c>
      <c r="K44" s="124">
        <v>3678875</v>
      </c>
      <c r="L44" s="124"/>
      <c r="M44" s="124"/>
      <c r="N44" s="124"/>
      <c r="O44" s="123"/>
      <c r="P44" s="123">
        <v>2631411</v>
      </c>
      <c r="Q44" s="124">
        <v>2626949.8454937232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6041533</v>
      </c>
      <c r="AT44" s="125">
        <v>191625</v>
      </c>
      <c r="AU44" s="125"/>
      <c r="AV44" s="125"/>
      <c r="AW44" s="323"/>
    </row>
    <row r="45" spans="1:49" x14ac:dyDescent="0.2">
      <c r="B45" s="167" t="s">
        <v>262</v>
      </c>
      <c r="C45" s="68" t="s">
        <v>19</v>
      </c>
      <c r="D45" s="115">
        <v>1065841</v>
      </c>
      <c r="E45" s="116">
        <v>1065841</v>
      </c>
      <c r="F45" s="116"/>
      <c r="G45" s="116"/>
      <c r="H45" s="116"/>
      <c r="I45" s="115">
        <v>118593</v>
      </c>
      <c r="J45" s="115">
        <v>1738875</v>
      </c>
      <c r="K45" s="116">
        <v>1738875</v>
      </c>
      <c r="L45" s="116"/>
      <c r="M45" s="116"/>
      <c r="N45" s="116"/>
      <c r="O45" s="115"/>
      <c r="P45" s="115">
        <v>1198660</v>
      </c>
      <c r="Q45" s="116">
        <v>1196627.8554735486</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5339326</v>
      </c>
      <c r="AT45" s="119">
        <v>109253</v>
      </c>
      <c r="AU45" s="119"/>
      <c r="AV45" s="119"/>
      <c r="AW45" s="324"/>
    </row>
    <row r="46" spans="1:49" x14ac:dyDescent="0.2">
      <c r="B46" s="167" t="s">
        <v>263</v>
      </c>
      <c r="C46" s="68" t="s">
        <v>20</v>
      </c>
      <c r="D46" s="115">
        <v>1192318</v>
      </c>
      <c r="E46" s="116">
        <v>1192318</v>
      </c>
      <c r="F46" s="116"/>
      <c r="G46" s="116"/>
      <c r="H46" s="116"/>
      <c r="I46" s="115">
        <v>93070</v>
      </c>
      <c r="J46" s="115">
        <v>977490</v>
      </c>
      <c r="K46" s="116">
        <v>977490</v>
      </c>
      <c r="L46" s="116"/>
      <c r="M46" s="116"/>
      <c r="N46" s="116"/>
      <c r="O46" s="115"/>
      <c r="P46" s="115">
        <v>679900</v>
      </c>
      <c r="Q46" s="116">
        <v>678747.3336362819</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6894257</v>
      </c>
      <c r="AT46" s="119">
        <v>318084</v>
      </c>
      <c r="AU46" s="119"/>
      <c r="AV46" s="119"/>
      <c r="AW46" s="324"/>
    </row>
    <row r="47" spans="1:49" x14ac:dyDescent="0.2">
      <c r="B47" s="167" t="s">
        <v>264</v>
      </c>
      <c r="C47" s="68" t="s">
        <v>21</v>
      </c>
      <c r="D47" s="115">
        <v>3469679</v>
      </c>
      <c r="E47" s="116">
        <v>3469679</v>
      </c>
      <c r="F47" s="116"/>
      <c r="G47" s="116"/>
      <c r="H47" s="116"/>
      <c r="I47" s="115">
        <v>325798</v>
      </c>
      <c r="J47" s="115">
        <v>11989235</v>
      </c>
      <c r="K47" s="116">
        <v>11989235</v>
      </c>
      <c r="L47" s="116"/>
      <c r="M47" s="116"/>
      <c r="N47" s="116"/>
      <c r="O47" s="115"/>
      <c r="P47" s="115">
        <v>7628775</v>
      </c>
      <c r="Q47" s="116">
        <v>7615841.5798810506</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3267463</v>
      </c>
      <c r="AT47" s="119">
        <v>1410608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387528.34733999998</v>
      </c>
      <c r="E49" s="116">
        <v>75145.937340000004</v>
      </c>
      <c r="F49" s="116"/>
      <c r="G49" s="116"/>
      <c r="H49" s="116"/>
      <c r="I49" s="115">
        <v>9389</v>
      </c>
      <c r="J49" s="115">
        <v>379969.07571999996</v>
      </c>
      <c r="K49" s="116">
        <v>-70654.434280000016</v>
      </c>
      <c r="L49" s="116"/>
      <c r="M49" s="116"/>
      <c r="N49" s="116"/>
      <c r="O49" s="115"/>
      <c r="P49" s="115">
        <v>645153.46950000012</v>
      </c>
      <c r="Q49" s="116">
        <v>339631.24888557912</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1282824.3381999999</v>
      </c>
      <c r="AT49" s="119">
        <v>27357.76451999999</v>
      </c>
      <c r="AU49" s="119"/>
      <c r="AV49" s="119"/>
      <c r="AW49" s="324"/>
    </row>
    <row r="50" spans="2:49" ht="25.5" x14ac:dyDescent="0.2">
      <c r="B50" s="161" t="s">
        <v>266</v>
      </c>
      <c r="C50" s="68"/>
      <c r="D50" s="115">
        <v>4239.8099999999986</v>
      </c>
      <c r="E50" s="116">
        <v>4239.8099999999986</v>
      </c>
      <c r="F50" s="116"/>
      <c r="G50" s="116"/>
      <c r="H50" s="116"/>
      <c r="I50" s="115">
        <v>280</v>
      </c>
      <c r="J50" s="115">
        <v>6969.7699999999995</v>
      </c>
      <c r="K50" s="116">
        <v>6969.7699999999995</v>
      </c>
      <c r="L50" s="116"/>
      <c r="M50" s="116"/>
      <c r="N50" s="116"/>
      <c r="O50" s="115"/>
      <c r="P50" s="115">
        <v>4773.1999999999989</v>
      </c>
      <c r="Q50" s="116">
        <v>4765.1077701319309</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17187.440000000013</v>
      </c>
      <c r="AT50" s="119">
        <v>688.03</v>
      </c>
      <c r="AU50" s="119"/>
      <c r="AV50" s="119"/>
      <c r="AW50" s="324"/>
    </row>
    <row r="51" spans="2:49" x14ac:dyDescent="0.2">
      <c r="B51" s="161" t="s">
        <v>267</v>
      </c>
      <c r="C51" s="68"/>
      <c r="D51" s="115">
        <v>8261195</v>
      </c>
      <c r="E51" s="116">
        <v>8261195</v>
      </c>
      <c r="F51" s="116"/>
      <c r="G51" s="116"/>
      <c r="H51" s="116"/>
      <c r="I51" s="115">
        <v>577189</v>
      </c>
      <c r="J51" s="115">
        <v>12710330</v>
      </c>
      <c r="K51" s="116">
        <v>12710330</v>
      </c>
      <c r="L51" s="116"/>
      <c r="M51" s="116"/>
      <c r="N51" s="116"/>
      <c r="O51" s="115"/>
      <c r="P51" s="115">
        <v>8575182</v>
      </c>
      <c r="Q51" s="116">
        <v>8560644.0916985422</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27825816</v>
      </c>
      <c r="AT51" s="119">
        <v>1165996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14585</v>
      </c>
      <c r="E56" s="128">
        <v>14603</v>
      </c>
      <c r="F56" s="128"/>
      <c r="G56" s="128"/>
      <c r="H56" s="128"/>
      <c r="I56" s="127">
        <v>1579</v>
      </c>
      <c r="J56" s="127">
        <v>26214</v>
      </c>
      <c r="K56" s="128">
        <v>24437</v>
      </c>
      <c r="L56" s="128"/>
      <c r="M56" s="128"/>
      <c r="N56" s="128"/>
      <c r="O56" s="127"/>
      <c r="P56" s="127">
        <v>19897</v>
      </c>
      <c r="Q56" s="128">
        <v>16431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158175</v>
      </c>
      <c r="AT56" s="129">
        <v>42347</v>
      </c>
      <c r="AU56" s="129"/>
      <c r="AV56" s="129"/>
      <c r="AW56" s="315"/>
    </row>
    <row r="57" spans="2:49" x14ac:dyDescent="0.2">
      <c r="B57" s="167" t="s">
        <v>273</v>
      </c>
      <c r="C57" s="68" t="s">
        <v>25</v>
      </c>
      <c r="D57" s="130">
        <v>24132</v>
      </c>
      <c r="E57" s="131">
        <v>24426</v>
      </c>
      <c r="F57" s="131"/>
      <c r="G57" s="131"/>
      <c r="H57" s="131"/>
      <c r="I57" s="130">
        <v>2384</v>
      </c>
      <c r="J57" s="130">
        <v>45995</v>
      </c>
      <c r="K57" s="131">
        <v>44617</v>
      </c>
      <c r="L57" s="131"/>
      <c r="M57" s="131"/>
      <c r="N57" s="131"/>
      <c r="O57" s="130"/>
      <c r="P57" s="130">
        <v>29897</v>
      </c>
      <c r="Q57" s="131">
        <v>29813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158175</v>
      </c>
      <c r="AT57" s="132">
        <v>80901</v>
      </c>
      <c r="AU57" s="132"/>
      <c r="AV57" s="132"/>
      <c r="AW57" s="316"/>
    </row>
    <row r="58" spans="2:49" x14ac:dyDescent="0.2">
      <c r="B58" s="167" t="s">
        <v>274</v>
      </c>
      <c r="C58" s="68" t="s">
        <v>26</v>
      </c>
      <c r="D58" s="336"/>
      <c r="E58" s="337"/>
      <c r="F58" s="337"/>
      <c r="G58" s="337"/>
      <c r="H58" s="337"/>
      <c r="I58" s="336"/>
      <c r="J58" s="130">
        <v>3564</v>
      </c>
      <c r="K58" s="131">
        <v>3564</v>
      </c>
      <c r="L58" s="131"/>
      <c r="M58" s="131"/>
      <c r="N58" s="131"/>
      <c r="O58" s="130"/>
      <c r="P58" s="130">
        <v>460</v>
      </c>
      <c r="Q58" s="131">
        <v>460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38</v>
      </c>
      <c r="AT58" s="132">
        <v>110</v>
      </c>
      <c r="AU58" s="132"/>
      <c r="AV58" s="132"/>
      <c r="AW58" s="316"/>
    </row>
    <row r="59" spans="2:49" x14ac:dyDescent="0.2">
      <c r="B59" s="167" t="s">
        <v>275</v>
      </c>
      <c r="C59" s="68" t="s">
        <v>27</v>
      </c>
      <c r="D59" s="130">
        <v>337727</v>
      </c>
      <c r="E59" s="131">
        <v>337863</v>
      </c>
      <c r="F59" s="131"/>
      <c r="G59" s="131"/>
      <c r="H59" s="131"/>
      <c r="I59" s="130">
        <v>25294</v>
      </c>
      <c r="J59" s="130">
        <v>629757</v>
      </c>
      <c r="K59" s="131">
        <v>590776</v>
      </c>
      <c r="L59" s="131"/>
      <c r="M59" s="131"/>
      <c r="N59" s="131"/>
      <c r="O59" s="130"/>
      <c r="P59" s="130">
        <v>398992</v>
      </c>
      <c r="Q59" s="131">
        <v>399829</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1890058</v>
      </c>
      <c r="AT59" s="132">
        <v>975172</v>
      </c>
      <c r="AU59" s="132"/>
      <c r="AV59" s="132"/>
      <c r="AW59" s="316"/>
    </row>
    <row r="60" spans="2:49" x14ac:dyDescent="0.2">
      <c r="B60" s="167" t="s">
        <v>276</v>
      </c>
      <c r="C60" s="68"/>
      <c r="D60" s="133">
        <f>D$59/12</f>
        <v>28143.916666666668</v>
      </c>
      <c r="E60" s="134">
        <f>E$59/12</f>
        <v>28155.25</v>
      </c>
      <c r="F60" s="134">
        <f>F$59/12</f>
        <v>0</v>
      </c>
      <c r="G60" s="134">
        <f>G$59/12</f>
        <v>0</v>
      </c>
      <c r="H60" s="134">
        <f>H$59/12</f>
        <v>0</v>
      </c>
      <c r="I60" s="133">
        <f>I$59/12</f>
        <v>2107.8333333333335</v>
      </c>
      <c r="J60" s="133">
        <f>J$59/12</f>
        <v>52479.75</v>
      </c>
      <c r="K60" s="134">
        <f>K$59/12</f>
        <v>49231.333333333336</v>
      </c>
      <c r="L60" s="134">
        <f>L$59/12</f>
        <v>0</v>
      </c>
      <c r="M60" s="134">
        <f>M$59/12</f>
        <v>0</v>
      </c>
      <c r="N60" s="134">
        <f>N$59/12</f>
        <v>0</v>
      </c>
      <c r="O60" s="133">
        <f>O$59/12</f>
        <v>0</v>
      </c>
      <c r="P60" s="133">
        <f>P$59/12</f>
        <v>33249.333333333336</v>
      </c>
      <c r="Q60" s="134">
        <f>Q$59/12</f>
        <v>33319.083333333336</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157504.83333333334</v>
      </c>
      <c r="AT60" s="135">
        <f>AT$59/12</f>
        <v>81264.333333333328</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87046115</v>
      </c>
      <c r="E5" s="124">
        <v>81473162.419999719</v>
      </c>
      <c r="F5" s="124"/>
      <c r="G5" s="136"/>
      <c r="H5" s="136"/>
      <c r="I5" s="123">
        <v>11131112</v>
      </c>
      <c r="J5" s="123">
        <v>238842004</v>
      </c>
      <c r="K5" s="124">
        <v>236438053.97754252</v>
      </c>
      <c r="L5" s="124"/>
      <c r="M5" s="124"/>
      <c r="N5" s="124"/>
      <c r="O5" s="123"/>
      <c r="P5" s="123">
        <v>153204959</v>
      </c>
      <c r="Q5" s="124">
        <v>155526600.2812081</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428905850</v>
      </c>
      <c r="AT5" s="125">
        <v>21229712</v>
      </c>
      <c r="AU5" s="125"/>
      <c r="AV5" s="318"/>
      <c r="AW5" s="323"/>
    </row>
    <row r="6" spans="2:49" x14ac:dyDescent="0.2">
      <c r="B6" s="182" t="s">
        <v>279</v>
      </c>
      <c r="C6" s="139" t="s">
        <v>8</v>
      </c>
      <c r="D6" s="115">
        <v>527863</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113631</v>
      </c>
      <c r="AU6" s="119"/>
      <c r="AV6" s="317"/>
      <c r="AW6" s="324"/>
    </row>
    <row r="7" spans="2:49" x14ac:dyDescent="0.2">
      <c r="B7" s="182" t="s">
        <v>280</v>
      </c>
      <c r="C7" s="139" t="s">
        <v>9</v>
      </c>
      <c r="D7" s="115">
        <v>417387</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38974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0.23999999847728759</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-5698103.7599999998</v>
      </c>
      <c r="E11" s="116"/>
      <c r="F11" s="116"/>
      <c r="G11" s="116"/>
      <c r="H11" s="116"/>
      <c r="I11" s="115"/>
      <c r="J11" s="115">
        <v>6.0000000000467679E-2</v>
      </c>
      <c r="K11" s="116"/>
      <c r="L11" s="116"/>
      <c r="M11" s="116"/>
      <c r="N11" s="116"/>
      <c r="O11" s="115"/>
      <c r="P11" s="115"/>
      <c r="Q11" s="116">
        <v>-706.52</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-8956091</v>
      </c>
      <c r="AT11" s="119"/>
      <c r="AU11" s="119"/>
      <c r="AV11" s="317"/>
      <c r="AW11" s="324"/>
    </row>
    <row r="12" spans="2:49" x14ac:dyDescent="0.2">
      <c r="B12" s="182" t="s">
        <v>283</v>
      </c>
      <c r="C12" s="139" t="s">
        <v>44</v>
      </c>
      <c r="D12" s="115">
        <v>0.23999999836087227</v>
      </c>
      <c r="E12" s="295"/>
      <c r="F12" s="295"/>
      <c r="G12" s="295"/>
      <c r="H12" s="295"/>
      <c r="I12" s="299"/>
      <c r="J12" s="115">
        <v>-0.14000000059604645</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-5716462</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8206407.6100000013</v>
      </c>
      <c r="F15" s="116"/>
      <c r="G15" s="116"/>
      <c r="H15" s="116"/>
      <c r="I15" s="115">
        <v>8206408</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8268175.79</v>
      </c>
      <c r="F16" s="116"/>
      <c r="G16" s="116"/>
      <c r="H16" s="116"/>
      <c r="I16" s="115">
        <v>8268176</v>
      </c>
      <c r="J16" s="115"/>
      <c r="K16" s="116">
        <v>4255065.5199999996</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4801295</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144824</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-99099</v>
      </c>
      <c r="AU19" s="119"/>
      <c r="AV19" s="317"/>
      <c r="AW19" s="324"/>
    </row>
    <row r="20" spans="2:49" s="11" customFormat="1" ht="25.5" x14ac:dyDescent="0.2">
      <c r="B20" s="184" t="s">
        <v>485</v>
      </c>
      <c r="C20" s="139"/>
      <c r="D20" s="115"/>
      <c r="E20" s="116">
        <v>1386281.86</v>
      </c>
      <c r="F20" s="116"/>
      <c r="G20" s="116"/>
      <c r="H20" s="116"/>
      <c r="I20" s="115">
        <v>1386282</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82499782</v>
      </c>
      <c r="E23" s="294"/>
      <c r="F23" s="294"/>
      <c r="G23" s="294"/>
      <c r="H23" s="294"/>
      <c r="I23" s="298"/>
      <c r="J23" s="115">
        <v>198504154</v>
      </c>
      <c r="K23" s="294"/>
      <c r="L23" s="294"/>
      <c r="M23" s="294"/>
      <c r="N23" s="294"/>
      <c r="O23" s="298"/>
      <c r="P23" s="115">
        <v>144752068</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358548442</v>
      </c>
      <c r="AT23" s="119">
        <v>17920121</v>
      </c>
      <c r="AU23" s="119"/>
      <c r="AV23" s="317"/>
      <c r="AW23" s="324"/>
    </row>
    <row r="24" spans="2:49" ht="28.5" customHeight="1" x14ac:dyDescent="0.2">
      <c r="B24" s="184" t="s">
        <v>114</v>
      </c>
      <c r="C24" s="139"/>
      <c r="D24" s="299"/>
      <c r="E24" s="116">
        <v>86507969.589000016</v>
      </c>
      <c r="F24" s="116"/>
      <c r="G24" s="116"/>
      <c r="H24" s="116"/>
      <c r="I24" s="115">
        <v>33570066</v>
      </c>
      <c r="J24" s="299"/>
      <c r="K24" s="116">
        <v>194627664.04000005</v>
      </c>
      <c r="L24" s="116"/>
      <c r="M24" s="116"/>
      <c r="N24" s="116"/>
      <c r="O24" s="115"/>
      <c r="P24" s="299"/>
      <c r="Q24" s="116">
        <v>139237794.85000002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10972670</v>
      </c>
      <c r="E26" s="294"/>
      <c r="F26" s="294"/>
      <c r="G26" s="294"/>
      <c r="H26" s="294"/>
      <c r="I26" s="298"/>
      <c r="J26" s="115">
        <v>17792362</v>
      </c>
      <c r="K26" s="294"/>
      <c r="L26" s="294"/>
      <c r="M26" s="294"/>
      <c r="N26" s="294"/>
      <c r="O26" s="298"/>
      <c r="P26" s="115">
        <v>17901836</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32411347</v>
      </c>
      <c r="AT26" s="119">
        <v>3113674</v>
      </c>
      <c r="AU26" s="119"/>
      <c r="AV26" s="317"/>
      <c r="AW26" s="324"/>
    </row>
    <row r="27" spans="2:49" s="11" customFormat="1" ht="25.5" x14ac:dyDescent="0.2">
      <c r="B27" s="184" t="s">
        <v>85</v>
      </c>
      <c r="C27" s="139"/>
      <c r="D27" s="299"/>
      <c r="E27" s="116">
        <v>1921382.173</v>
      </c>
      <c r="F27" s="116"/>
      <c r="G27" s="116"/>
      <c r="H27" s="116"/>
      <c r="I27" s="115">
        <v>1095678</v>
      </c>
      <c r="J27" s="299"/>
      <c r="K27" s="116">
        <v>1846413.3285036294</v>
      </c>
      <c r="L27" s="116"/>
      <c r="M27" s="116"/>
      <c r="N27" s="116"/>
      <c r="O27" s="115"/>
      <c r="P27" s="299"/>
      <c r="Q27" s="116">
        <v>1356766.1695963743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7950639</v>
      </c>
      <c r="E28" s="295"/>
      <c r="F28" s="295"/>
      <c r="G28" s="295"/>
      <c r="H28" s="295"/>
      <c r="I28" s="299"/>
      <c r="J28" s="115">
        <v>20754075</v>
      </c>
      <c r="K28" s="295"/>
      <c r="L28" s="295"/>
      <c r="M28" s="295"/>
      <c r="N28" s="295"/>
      <c r="O28" s="299"/>
      <c r="P28" s="115">
        <v>22269763</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31179695</v>
      </c>
      <c r="AT28" s="119">
        <v>3784375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158493</v>
      </c>
      <c r="K30" s="294"/>
      <c r="L30" s="294"/>
      <c r="M30" s="294"/>
      <c r="N30" s="294"/>
      <c r="O30" s="298"/>
      <c r="P30" s="115">
        <v>10386</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605974</v>
      </c>
      <c r="AU30" s="119"/>
      <c r="AV30" s="317"/>
      <c r="AW30" s="324"/>
    </row>
    <row r="31" spans="2:49" s="11" customFormat="1" ht="25.5" x14ac:dyDescent="0.2">
      <c r="B31" s="184" t="s">
        <v>84</v>
      </c>
      <c r="C31" s="139"/>
      <c r="D31" s="299"/>
      <c r="E31" s="116"/>
      <c r="F31" s="116"/>
      <c r="G31" s="116"/>
      <c r="H31" s="116"/>
      <c r="I31" s="115"/>
      <c r="J31" s="299"/>
      <c r="K31" s="116">
        <v>138146.28</v>
      </c>
      <c r="L31" s="116"/>
      <c r="M31" s="116"/>
      <c r="N31" s="116"/>
      <c r="O31" s="115"/>
      <c r="P31" s="299"/>
      <c r="Q31" s="116">
        <v>-81061.76999999999</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104000</v>
      </c>
      <c r="K32" s="295"/>
      <c r="L32" s="295"/>
      <c r="M32" s="295"/>
      <c r="N32" s="295"/>
      <c r="O32" s="299"/>
      <c r="P32" s="115">
        <v>1794</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688639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13207241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13207241</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16921356</v>
      </c>
      <c r="E36" s="116">
        <v>16921356</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187896</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-5697893</v>
      </c>
      <c r="E41" s="294"/>
      <c r="F41" s="294"/>
      <c r="G41" s="294"/>
      <c r="H41" s="294"/>
      <c r="I41" s="298"/>
      <c r="J41" s="115">
        <v>28</v>
      </c>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-8956091</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v>-706.52</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708552</v>
      </c>
      <c r="E43" s="295"/>
      <c r="F43" s="295"/>
      <c r="G43" s="295"/>
      <c r="H43" s="295"/>
      <c r="I43" s="299"/>
      <c r="J43" s="115">
        <v>89718</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-5716462</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154148</v>
      </c>
      <c r="E49" s="116">
        <v>679159.38000000012</v>
      </c>
      <c r="F49" s="116"/>
      <c r="G49" s="116"/>
      <c r="H49" s="116"/>
      <c r="I49" s="115">
        <v>114142</v>
      </c>
      <c r="J49" s="115">
        <v>785605</v>
      </c>
      <c r="K49" s="116">
        <v>3143408.1692908439</v>
      </c>
      <c r="L49" s="116"/>
      <c r="M49" s="116"/>
      <c r="N49" s="116"/>
      <c r="O49" s="115"/>
      <c r="P49" s="115">
        <v>356370</v>
      </c>
      <c r="Q49" s="116">
        <v>2000565.6107091564</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10139248</v>
      </c>
      <c r="AT49" s="119">
        <v>7731</v>
      </c>
      <c r="AU49" s="119"/>
      <c r="AV49" s="317"/>
      <c r="AW49" s="324"/>
    </row>
    <row r="50" spans="2:49" x14ac:dyDescent="0.2">
      <c r="B50" s="182" t="s">
        <v>119</v>
      </c>
      <c r="C50" s="139" t="s">
        <v>34</v>
      </c>
      <c r="D50" s="115">
        <v>377554.00000000006</v>
      </c>
      <c r="E50" s="295"/>
      <c r="F50" s="295"/>
      <c r="G50" s="295"/>
      <c r="H50" s="295"/>
      <c r="I50" s="299"/>
      <c r="J50" s="115">
        <v>505804.00000000006</v>
      </c>
      <c r="K50" s="295"/>
      <c r="L50" s="295"/>
      <c r="M50" s="295"/>
      <c r="N50" s="295"/>
      <c r="O50" s="299"/>
      <c r="P50" s="115">
        <v>414107</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7135573</v>
      </c>
      <c r="AT50" s="119">
        <v>2968</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-405734</v>
      </c>
      <c r="L53" s="116"/>
      <c r="M53" s="116"/>
      <c r="N53" s="116"/>
      <c r="O53" s="115"/>
      <c r="P53" s="115"/>
      <c r="Q53" s="116">
        <v>767918</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75624659</v>
      </c>
      <c r="E54" s="121">
        <f>E24+E27+E31+E35-E36+E39+E42+E45+E46-E49+E51+E52+E53</f>
        <v>84036077.382000014</v>
      </c>
      <c r="F54" s="121">
        <f>F24+F27+F31+F35-F36+F39+F42+F45+F46-F49+F51+F52+F53</f>
        <v>0</v>
      </c>
      <c r="G54" s="121">
        <f>G24+G27+G31+G35-G36+G39+G42+G45+G46-G49+G51+G52+G53</f>
        <v>0</v>
      </c>
      <c r="H54" s="121">
        <f>H24+H27+H31+H35-H36+H39+H42+H45+H46-H49+H51+H52+H53</f>
        <v>0</v>
      </c>
      <c r="I54" s="120">
        <f>I24+I27+I31+I35-I36+I39+I42+I45+I46-I49+I51+I52+I53</f>
        <v>34551602</v>
      </c>
      <c r="J54" s="120">
        <f>J23+J26-J28+J30-J32+J34-J36+J38+J41-J43+J45+J46-J47-J49+J50+J51+J52+J53</f>
        <v>195227443</v>
      </c>
      <c r="K54" s="121">
        <f>K24+K27+K31+K35-K36+K39+K42+K45+K46-K49+K51+K52+K53</f>
        <v>193063081.47921285</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140450470</v>
      </c>
      <c r="Q54" s="121">
        <f>Q24+Q27+Q31+Q35-Q36+Q39+Q42+Q45+Q46-Q49+Q51+Q52+Q53</f>
        <v>139280145.11888722</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353724686</v>
      </c>
      <c r="AT54" s="122">
        <f>AT23+AT26-AT28+AT30-AT32+AT34-AT36+AT38+AT41-AT43+AT45+AT46-AT47-AT49+AT50+AT51+AT52+AT53</f>
        <v>17161992</v>
      </c>
      <c r="AU54" s="122">
        <f>AU23+AU26-AU28+AU30-AU32+AU34-AU36+AU38+AU41-AU43+AU45+AU46-AU47-AU49+AU50+AU51+AU52+AU53</f>
        <v>0</v>
      </c>
      <c r="AV54" s="317"/>
      <c r="AW54" s="324"/>
    </row>
    <row r="55" spans="2:49" ht="25.5" x14ac:dyDescent="0.2">
      <c r="B55" s="187" t="s">
        <v>304</v>
      </c>
      <c r="C55" s="143" t="s">
        <v>28</v>
      </c>
      <c r="D55" s="120">
        <f>MIN(MAX(0,D56),MAX(0,D57))</f>
        <v>117833</v>
      </c>
      <c r="E55" s="121">
        <f>MIN(MAX(0,E56),MAX(0,E57))</f>
        <v>117833</v>
      </c>
      <c r="F55" s="121">
        <f>MIN(MAX(0,F56),MAX(0,F57))</f>
        <v>0</v>
      </c>
      <c r="G55" s="121">
        <f>MIN(MAX(0,G56),MAX(0,G57))</f>
        <v>0</v>
      </c>
      <c r="H55" s="121">
        <f>MIN(MAX(0,H56),MAX(0,H57))</f>
        <v>0</v>
      </c>
      <c r="I55" s="120">
        <f>MIN(MAX(0,I56),MAX(0,I57))</f>
        <v>8628</v>
      </c>
      <c r="J55" s="120">
        <f>MIN(MAX(0,J56),MAX(0,J57))</f>
        <v>429302</v>
      </c>
      <c r="K55" s="121">
        <f>MIN(MAX(0,K56),MAX(0,K57))</f>
        <v>429302</v>
      </c>
      <c r="L55" s="121">
        <f>MIN(MAX(0,L56),MAX(0,L57))</f>
        <v>0</v>
      </c>
      <c r="M55" s="121">
        <f>MIN(MAX(0,M56),MAX(0,M57))</f>
        <v>0</v>
      </c>
      <c r="N55" s="121">
        <f>MIN(MAX(0,N56),MAX(0,N57))</f>
        <v>0</v>
      </c>
      <c r="O55" s="120">
        <f>MIN(MAX(0,O56),MAX(0,O57))</f>
        <v>0</v>
      </c>
      <c r="P55" s="120">
        <f>MIN(MAX(0,P56),MAX(0,P57))</f>
        <v>320167</v>
      </c>
      <c r="Q55" s="121">
        <f>MIN(MAX(0,Q56),MAX(0,Q57))</f>
        <v>320160.62</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117833</v>
      </c>
      <c r="E56" s="116">
        <v>117833</v>
      </c>
      <c r="F56" s="116"/>
      <c r="G56" s="116"/>
      <c r="H56" s="116"/>
      <c r="I56" s="115">
        <v>8628</v>
      </c>
      <c r="J56" s="115">
        <v>429302</v>
      </c>
      <c r="K56" s="116">
        <v>429302</v>
      </c>
      <c r="L56" s="116"/>
      <c r="M56" s="116"/>
      <c r="N56" s="116"/>
      <c r="O56" s="115"/>
      <c r="P56" s="115">
        <v>320167</v>
      </c>
      <c r="Q56" s="116">
        <v>320160.62</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329648</v>
      </c>
      <c r="E57" s="116">
        <v>329648</v>
      </c>
      <c r="F57" s="116"/>
      <c r="G57" s="116"/>
      <c r="H57" s="116"/>
      <c r="I57" s="115">
        <v>44771</v>
      </c>
      <c r="J57" s="115">
        <v>788317</v>
      </c>
      <c r="K57" s="116">
        <v>788317</v>
      </c>
      <c r="L57" s="116"/>
      <c r="M57" s="116"/>
      <c r="N57" s="116"/>
      <c r="O57" s="115"/>
      <c r="P57" s="115">
        <v>711207</v>
      </c>
      <c r="Q57" s="116">
        <v>711207</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4848208</v>
      </c>
      <c r="AT57" s="119">
        <v>261113.99999999997</v>
      </c>
      <c r="AU57" s="119"/>
      <c r="AV57" s="119"/>
      <c r="AW57" s="324"/>
    </row>
    <row r="58" spans="2:49" s="11" customFormat="1" x14ac:dyDescent="0.2">
      <c r="B58" s="190" t="s">
        <v>484</v>
      </c>
      <c r="C58" s="191"/>
      <c r="D58" s="192"/>
      <c r="E58" s="193">
        <v>273445.96000000002</v>
      </c>
      <c r="F58" s="193"/>
      <c r="G58" s="193"/>
      <c r="H58" s="193"/>
      <c r="I58" s="192">
        <v>273446</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63419690.739999995</v>
      </c>
      <c r="D5" s="124">
        <v>69327652.305099994</v>
      </c>
      <c r="E5" s="352"/>
      <c r="F5" s="352"/>
      <c r="G5" s="318"/>
      <c r="H5" s="123">
        <v>238752034.60999998</v>
      </c>
      <c r="I5" s="124">
        <v>225605664.36366481</v>
      </c>
      <c r="J5" s="352"/>
      <c r="K5" s="352"/>
      <c r="L5" s="318"/>
      <c r="M5" s="123">
        <v>164905191.72999999</v>
      </c>
      <c r="N5" s="124">
        <v>154579418.88083518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63448909.25</v>
      </c>
      <c r="D6" s="116">
        <v>68877960.915399998</v>
      </c>
      <c r="E6" s="121">
        <f>SUM('Pt 1 Summary of Data'!E$12,'Pt 1 Summary of Data'!E$22)+SUM('Pt 1 Summary of Data'!G$12,'Pt 1 Summary of Data'!G$22)-SUM('Pt 1 Summary of Data'!H$12,'Pt 1 Summary of Data'!H$22)</f>
        <v>84153910.382000014</v>
      </c>
      <c r="F6" s="121">
        <f>SUM(C6:E6)</f>
        <v>216480780.5474</v>
      </c>
      <c r="G6" s="122">
        <f>SUM('Pt 1 Summary of Data'!I$12,'Pt 1 Summary of Data'!I$22)</f>
        <v>34560230</v>
      </c>
      <c r="H6" s="115">
        <v>237303976.18882486</v>
      </c>
      <c r="I6" s="116">
        <v>225705264.60366905</v>
      </c>
      <c r="J6" s="121">
        <f>SUM('Pt 1 Summary of Data'!K$12,'Pt 1 Summary of Data'!K$22)+SUM('Pt 1 Summary of Data'!M$12,'Pt 1 Summary of Data'!M$22)-SUM('Pt 1 Summary of Data'!N$12,'Pt 1 Summary of Data'!N$22)</f>
        <v>193492383.47921285</v>
      </c>
      <c r="K6" s="121">
        <f>SUM(H6:J6)</f>
        <v>656501624.27170682</v>
      </c>
      <c r="L6" s="122">
        <f>SUM('Pt 1 Summary of Data'!O$12,'Pt 1 Summary of Data'!O$22)</f>
        <v>0</v>
      </c>
      <c r="M6" s="115">
        <v>154353402.65117508</v>
      </c>
      <c r="N6" s="116">
        <v>154742167.40383098</v>
      </c>
      <c r="O6" s="121">
        <f>SUM('Pt 1 Summary of Data'!Q$12,'Pt 1 Summary of Data'!Q$22)+SUM('Pt 1 Summary of Data'!S$12,'Pt 1 Summary of Data'!S$22)-SUM('Pt 1 Summary of Data'!T$12,'Pt 1 Summary of Data'!T$22)</f>
        <v>139600305.73888722</v>
      </c>
      <c r="P6" s="121">
        <f>SUM(M6:O6)</f>
        <v>448695875.79389322</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1175541.76</v>
      </c>
      <c r="D7" s="116">
        <v>1747340.29</v>
      </c>
      <c r="E7" s="121">
        <f>SUM('Pt 1 Summary of Data'!E$37:E$41)+SUM('Pt 1 Summary of Data'!G$37:G$41)-SUM('Pt 1 Summary of Data'!H$37:H$41)+MAX(0,MIN('Pt 1 Summary of Data'!E$42+'Pt 1 Summary of Data'!G$42-'Pt 1 Summary of Data'!H$42,0.3%*('Pt 1 Summary of Data'!E$5+'Pt 1 Summary of Data'!G$5-'Pt 1 Summary of Data'!H$5-SUM(E$9:E$11))))</f>
        <v>1149690.3700000001</v>
      </c>
      <c r="F7" s="121">
        <f>SUM(C7:E7)</f>
        <v>4072572.42</v>
      </c>
      <c r="G7" s="122">
        <f>SUM('Pt 1 Summary of Data'!I$37:I$41)+MAX(0,MIN('Pt 1 Summary of Data'!I$42,0.3%*('Pt 1 Summary of Data'!I$5-SUM(G$9:G$10))))</f>
        <v>82212</v>
      </c>
      <c r="H7" s="115">
        <v>6196448.8600000003</v>
      </c>
      <c r="I7" s="116">
        <v>5338473.53</v>
      </c>
      <c r="J7" s="121">
        <f>SUM('Pt 1 Summary of Data'!K$37:K$41)+SUM('Pt 1 Summary of Data'!M$37:M$41)-SUM('Pt 1 Summary of Data'!N$37:N$41)+MAX(0,MIN('Pt 1 Summary of Data'!K$42+'Pt 1 Summary of Data'!M$42-'Pt 1 Summary of Data'!N$42,0.3%*('Pt 1 Summary of Data'!K$5+'Pt 1 Summary of Data'!M$5-'Pt 1 Summary of Data'!N$5-SUM(J$10:J$11))))</f>
        <v>4001456.7199999993</v>
      </c>
      <c r="K7" s="121">
        <f>SUM(H7:J7)</f>
        <v>15536379.109999999</v>
      </c>
      <c r="L7" s="122">
        <f>SUM('Pt 1 Summary of Data'!O$37:O$41)+MAX(0,MIN('Pt 1 Summary of Data'!O$42,0.3%*('Pt 1 Summary of Data'!O$5-L$10)))</f>
        <v>0</v>
      </c>
      <c r="M7" s="115">
        <v>3775864.85</v>
      </c>
      <c r="N7" s="116">
        <v>3423516.42</v>
      </c>
      <c r="O7" s="121">
        <f>SUM('Pt 1 Summary of Data'!Q$37:Q$41)+SUM('Pt 1 Summary of Data'!S$37:S$41)-SUM('Pt 1 Summary of Data'!T$37:T$41)+MAX(0,MIN('Pt 1 Summary of Data'!Q$42+'Pt 1 Summary of Data'!S$42-'Pt 1 Summary of Data'!T$42,0.3%*('Pt 1 Summary of Data'!Q$5+'Pt 1 Summary of Data'!S$5-'Pt 1 Summary of Data'!T$5)))</f>
        <v>2663077.6500000004</v>
      </c>
      <c r="P7" s="121">
        <f>SUM(M7:O7)</f>
        <v>9862458.9199999999</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v>273445.96000000002</v>
      </c>
      <c r="F8" s="275">
        <f>SUM(C8:E8)</f>
        <v>273445.96000000002</v>
      </c>
      <c r="G8" s="276">
        <v>273446</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8206407.6100000013</v>
      </c>
      <c r="F9" s="121">
        <f>SUM(C9:E9)</f>
        <v>8206407.6100000013</v>
      </c>
      <c r="G9" s="122">
        <f>'Pt 2 Premium and Claims'!I$15</f>
        <v>8206408</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8268175.79</v>
      </c>
      <c r="F10" s="121">
        <f>SUM(C10:E10)</f>
        <v>8268175.79</v>
      </c>
      <c r="G10" s="122">
        <f>'Pt 2 Premium and Claims'!I$16</f>
        <v>8268176</v>
      </c>
      <c r="H10" s="298"/>
      <c r="I10" s="294"/>
      <c r="J10" s="121">
        <f>'Pt 2 Premium and Claims'!K$16+'Pt 2 Premium and Claims'!M$16-'Pt 2 Premium and Claims'!N$16</f>
        <v>4255065.5199999996</v>
      </c>
      <c r="K10" s="121">
        <f>SUM(H10:J10)</f>
        <v>4255065.5199999996</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4801295</v>
      </c>
      <c r="F11" s="121">
        <f>SUM(C11:E11)</f>
        <v>4801295</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64624451.009999998</v>
      </c>
      <c r="D12" s="121">
        <f>SUM(D$6:D$7)+IF(AND(OR('Company Information'!$C$12="District of Columbia",'Company Information'!$C$12="Massachusetts",'Company Information'!$C$12="Vermont"),SUM($C$6:$F$11,$C$15:$F$16,$C$37:$D$37)&lt;&gt;0),SUM(I$6:I$7),0)</f>
        <v>70625301.205400005</v>
      </c>
      <c r="E12" s="121">
        <f>SUM(E$6:E$7)-SUM(E$8:E$11)+IF(AND(OR('Company Information'!$C$12="District of Columbia",'Company Information'!$C$12="Massachusetts",'Company Information'!$C$12="Vermont"),SUM($C$6:$F$11,$C$15:$F$16,$C$37:$D$37)&lt;&gt;0),SUM(J$6:J$7)-SUM(J$10:J$11),0)</f>
        <v>63754276.39200002</v>
      </c>
      <c r="F12" s="121">
        <f>IFERROR(SUM(C$12:E$12)+C$17*MAX(0,E$49-C$49)+D$17*MAX(0,E$49-D$49),0)</f>
        <v>199004028.60740003</v>
      </c>
      <c r="G12" s="317"/>
      <c r="H12" s="120">
        <f>SUM(H$6:H$7)+IF(AND(OR('Company Information'!$C$12="District of Columbia",'Company Information'!$C$12="Massachusetts",'Company Information'!$C$12="Vermont"),SUM($H$6:$K$11,$H$15:$K$16,$H$37:$I$37)&lt;&gt;0),SUM(C$6:C$7),0)</f>
        <v>243500425.04882488</v>
      </c>
      <c r="I12" s="121">
        <f>SUM(I$6:I$7)+IF(AND(OR('Company Information'!$C$12="District of Columbia",'Company Information'!$C$12="Massachusetts",'Company Information'!$C$12="Vermont"),SUM($H$6:$K$11,$H$15:$K$16,$H$37:$I$37)&lt;&gt;0),SUM(D$6:D$7),0)</f>
        <v>231043738.13366905</v>
      </c>
      <c r="J12" s="121">
        <f>SUM(J$6:J$7)-SUM(J$10:J$11)+IF(AND(OR('Company Information'!$C$12="District of Columbia",'Company Information'!$C$12="Massachusetts",'Company Information'!$C$12="Vermont"),SUM($H$6:$K$11,$H$15:$K$16,$H$37:$I$37)&lt;&gt;0),SUM(E$6:E$7)-SUM(E$8:E$11),0)</f>
        <v>193238774.67921284</v>
      </c>
      <c r="K12" s="121">
        <f>IFERROR(SUM(H$12:J$12)+H$17*MAX(0,J$49-H$49)+I$17*MAX(0,J$49-I$49),0)</f>
        <v>667782937.86170673</v>
      </c>
      <c r="L12" s="317"/>
      <c r="M12" s="120">
        <f>SUM(M$6:M$7)</f>
        <v>158129267.50117508</v>
      </c>
      <c r="N12" s="121">
        <f>SUM(N$6:N$7)</f>
        <v>158165683.82383096</v>
      </c>
      <c r="O12" s="121">
        <f>SUM(O$6:O$7)</f>
        <v>142263383.38888723</v>
      </c>
      <c r="P12" s="121">
        <f>SUM(M$12:O$12)+M$17*MAX(0,O$49-M$49)+N$17*MAX(0,O$49-N$49)</f>
        <v>458558334.71389323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80548752.310000002</v>
      </c>
      <c r="D15" s="124">
        <v>86777773.326934516</v>
      </c>
      <c r="E15" s="112">
        <f>SUM('Pt 1 Summary of Data'!E$5:E$7)+SUM('Pt 1 Summary of Data'!G$5:G$7)-SUM('Pt 1 Summary of Data'!H$5:H$7)-SUM(E$9:E$11)+D$55</f>
        <v>81787969.423065186</v>
      </c>
      <c r="F15" s="112">
        <f>SUM(C15:E15)</f>
        <v>249114495.0599997</v>
      </c>
      <c r="G15" s="113">
        <f>SUM('Pt 1 Summary of Data'!I$5:I$7)-SUM(G$9:G$10)</f>
        <v>11131112</v>
      </c>
      <c r="H15" s="123">
        <v>304011981.79000002</v>
      </c>
      <c r="I15" s="124">
        <v>279150846.70315081</v>
      </c>
      <c r="J15" s="112">
        <f>SUM('Pt 1 Summary of Data'!K$5:K$7)+SUM('Pt 1 Summary of Data'!M$5:M$7)-SUM('Pt 1 Summary of Data'!N$5:N$7)-SUM(J$10:J$11)+I$55</f>
        <v>237082946.86237353</v>
      </c>
      <c r="K15" s="112">
        <f>SUM(H15:J15)</f>
        <v>820245775.3555243</v>
      </c>
      <c r="L15" s="113">
        <f>SUM('Pt 1 Summary of Data'!O$5:O$7)-L$10</f>
        <v>0</v>
      </c>
      <c r="M15" s="123">
        <v>172281243.41</v>
      </c>
      <c r="N15" s="124">
        <v>169250285.40589023</v>
      </c>
      <c r="O15" s="112">
        <f>SUM('Pt 1 Summary of Data'!Q$5:Q$7)+SUM('Pt 1 Summary of Data'!S$5:S$7)-SUM('Pt 1 Summary of Data'!T$5:T$7)+N$55</f>
        <v>155927307.69069239</v>
      </c>
      <c r="P15" s="112">
        <f>SUM(M15:O15)</f>
        <v>497458836.50658262</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-173073.00000000006</v>
      </c>
      <c r="D16" s="116">
        <v>1396712.0437329379</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3074220.2836270621</v>
      </c>
      <c r="F16" s="121">
        <f>SUM(C16:E16)</f>
        <v>4297859.3273600005</v>
      </c>
      <c r="G16" s="122">
        <f>SUM('Pt 1 Summary of Data'!I$25:I$28,'Pt 1 Summary of Data'!I$30,'Pt 1 Summary of Data'!I$34:I$35)+IF('Company Information'!$C$15="No",IF(MAX('Pt 1 Summary of Data'!I$31:I$32)=0,MIN('Pt 1 Summary of Data'!I$31:I$32),MAX('Pt 1 Summary of Data'!I$31:I$32)),SUM('Pt 1 Summary of Data'!I$31:I$32))</f>
        <v>-1501265</v>
      </c>
      <c r="H16" s="115">
        <v>5894971</v>
      </c>
      <c r="I16" s="116">
        <v>5233216.1420984007</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9399009.1061815992</v>
      </c>
      <c r="K16" s="121">
        <f>SUM(H16:J16)</f>
        <v>20527196.24828</v>
      </c>
      <c r="L16" s="122">
        <f>SUM('Pt 1 Summary of Data'!O$25:O$28,'Pt 1 Summary of Data'!O$30,'Pt 1 Summary of Data'!O$34:O$35)+IF('Company Information'!$C$15="No",IF(MAX('Pt 1 Summary of Data'!O$31:O$32)=0,MIN('Pt 1 Summary of Data'!O$31:O$32),MAX('Pt 1 Summary of Data'!O$31:O$32)),SUM('Pt 1 Summary of Data'!O$31:O$32))</f>
        <v>0</v>
      </c>
      <c r="M16" s="115">
        <v>-5321821.0999999996</v>
      </c>
      <c r="N16" s="116">
        <v>-4416548.4872852769</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200711.18654326376</v>
      </c>
      <c r="P16" s="121">
        <f>SUM(M16:O16)</f>
        <v>-9537658.400742013</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80721825.310000002</v>
      </c>
      <c r="D17" s="121">
        <f>D$15-D$16+IF(AND(OR('Company Information'!$C$12="District of Columbia",'Company Information'!$C$12="Massachusetts",'Company Information'!$C$12="Vermont"),SUM($C$6:$F$11,$C$15:$F$16,$C$37:$D$37)&lt;&gt;0),I$15-I$16,0)</f>
        <v>85381061.283201575</v>
      </c>
      <c r="E17" s="121">
        <f>E$15-E$16+IF(AND(OR('Company Information'!$C$12="District of Columbia",'Company Information'!$C$12="Massachusetts",'Company Information'!$C$12="Vermont"),SUM($C$6:$F$11,$C$15:$F$16,$C$37:$D$37)&lt;&gt;0),J$15-J$16,0)</f>
        <v>78713749.139438123</v>
      </c>
      <c r="F17" s="121">
        <f>F$15-F$16+IF(AND(OR('Company Information'!$C$12="District of Columbia",'Company Information'!$C$12="Massachusetts",'Company Information'!$C$12="Vermont"),SUM($C$6:$F$11,$C$15:$F$16,$C$37:$D$37)&lt;&gt;0),K$15-K$16,0)</f>
        <v>244816635.7326397</v>
      </c>
      <c r="G17" s="320"/>
      <c r="H17" s="120">
        <f>H$15-H$16+IF(AND(OR('Company Information'!$C$12="District of Columbia",'Company Information'!$C$12="Massachusetts",'Company Information'!$C$12="Vermont"),SUM($H$6:$K$11,$H$15:$K$16,$H$37:$I$37)&lt;&gt;0),C$15-C$16,0)</f>
        <v>298117010.79000002</v>
      </c>
      <c r="I17" s="121">
        <f>I$15-I$16+IF(AND(OR('Company Information'!$C$12="District of Columbia",'Company Information'!$C$12="Massachusetts",'Company Information'!$C$12="Vermont"),SUM($H$6:$K$11,$H$15:$K$16,$H$37:$I$37)&lt;&gt;0),D$15-D$16,0)</f>
        <v>273917630.56105238</v>
      </c>
      <c r="J17" s="121">
        <f>J$15-J$16+IF(AND(OR('Company Information'!$C$12="District of Columbia",'Company Information'!$C$12="Massachusetts",'Company Information'!$C$12="Vermont"),SUM($H$6:$K$11,$H$15:$K$16,$H$37:$I$37)&lt;&gt;0),E$15-E$16,0)</f>
        <v>227683937.75619194</v>
      </c>
      <c r="K17" s="121">
        <f>K$15-K$16+IF(AND(OR('Company Information'!$C$12="District of Columbia",'Company Information'!$C$12="Massachusetts",'Company Information'!$C$12="Vermont"),SUM($H$6:$K$11,$H$15:$K$16,$H$37:$I$37)&lt;&gt;0),F$15-F$16,0)</f>
        <v>799718579.10724425</v>
      </c>
      <c r="L17" s="320"/>
      <c r="M17" s="120">
        <f>M$15-M$16</f>
        <v>177603064.50999999</v>
      </c>
      <c r="N17" s="121">
        <f>N$15-N$16</f>
        <v>173666833.89317551</v>
      </c>
      <c r="O17" s="121">
        <f>O$15-O$16</f>
        <v>155726596.50414914</v>
      </c>
      <c r="P17" s="121">
        <f>P$15-P$16</f>
        <v>506996494.90732461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17894412</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1223462</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1.41655145345963</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5.5500000000000001E-2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1080068.2334999999</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-6485497</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1080068.2334999999</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802265.23350000009</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802265.23350000009</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1726307.3234999999</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1025210.4000000004</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10328846.7665</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802265.23350000009</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10328846.7665</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1.7324695006646558</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5649627</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4801295</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35813.166666666664</v>
      </c>
      <c r="D37" s="128">
        <v>35406</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28155.25</v>
      </c>
      <c r="F37" s="262">
        <f>SUM(C$37:E$37)+IF(AND(OR('Company Information'!$C$12="District of Columbia",'Company Information'!$C$12="Massachusetts",'Company Information'!$C$12="Vermont"),SUM($C$6:$F$11,$C$15:$F$16,$C$37:$D$37)&lt;&gt;0,SUM(C$37:D$37)&lt;&gt;SUM(H$37:I$37)),SUM(H$37:I$37),0)</f>
        <v>99374.416666666657</v>
      </c>
      <c r="G37" s="318"/>
      <c r="H37" s="127">
        <v>69352.75</v>
      </c>
      <c r="I37" s="128">
        <v>61275</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49231.333333333336</v>
      </c>
      <c r="K37" s="262">
        <f>SUM(H$37:J$37)+IF(AND(OR('Company Information'!$C$12="District of Columbia",'Company Information'!$C$12="Massachusetts",'Company Information'!$C$12="Vermont"),SUM($H$6:$K$11,$H$15:$K$16,$H$37:$I$37)&lt;&gt;0,SUM(H$37:I$37)&lt;&gt;SUM(C$37:D$37)),SUM(C$37:D$37),0)</f>
        <v>179859.08333333334</v>
      </c>
      <c r="L37" s="318"/>
      <c r="M37" s="127">
        <v>39729.833333333336</v>
      </c>
      <c r="N37" s="128">
        <v>38480</v>
      </c>
      <c r="O37" s="262">
        <f>('Pt 1 Summary of Data'!Q$59+'Pt 1 Summary of Data'!S$59-'Pt 1 Summary of Data'!T$59)/12</f>
        <v>33319.083333333336</v>
      </c>
      <c r="P37" s="262">
        <f>SUM(M$37:O$37)</f>
        <v>111528.91666666669</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4030.3634550046386</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1.3096906009164415</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0.80058213205436735</v>
      </c>
      <c r="D44" s="266">
        <f>IF(OR(D$37&lt;1000,D$17&lt;=0),"",D$12/D$17)</f>
        <v>0.82717759821633052</v>
      </c>
      <c r="E44" s="266">
        <f>IF(OR(E$37&lt;1000,E$17&lt;=0),"",E$12/E$17)</f>
        <v>0.80995095633244429</v>
      </c>
      <c r="F44" s="266">
        <f>IF(OR(F$37&lt;1000,F$17&lt;=0),"",F$12/F$17)</f>
        <v>0.81286971374252981</v>
      </c>
      <c r="G44" s="317"/>
      <c r="H44" s="268">
        <f>IF(OR(H$37&lt;1000,H$17&lt;=0),"",H$12/H$17)</f>
        <v>0.81679480283113315</v>
      </c>
      <c r="I44" s="266">
        <f>IF(OR(I$37&lt;1000,I$17&lt;=0),"",I$12/I$17)</f>
        <v>0.84347888692098139</v>
      </c>
      <c r="J44" s="266">
        <f>IF(OR(J$37&lt;1000,J$17&lt;=0),"",J$12/J$17)</f>
        <v>0.8487150063529576</v>
      </c>
      <c r="K44" s="266">
        <f>IF(OR(K$37&lt;1000,K$17&lt;=0),"",K$12/K$17)</f>
        <v>0.83502241326839977</v>
      </c>
      <c r="L44" s="317"/>
      <c r="M44" s="268">
        <f>IF(OR(M$37&lt;1000,M$17&lt;=0),"",M$12/M$17)</f>
        <v>0.89035213405493663</v>
      </c>
      <c r="N44" s="266">
        <f>IF(OR(N$37&lt;1000,N$17&lt;=0),"",N$12/N$17)</f>
        <v>0.9107420241283406</v>
      </c>
      <c r="O44" s="266">
        <f>IF(OR(O$37&lt;1000,O$17&lt;=0),"",O$12/O$17)</f>
        <v>0.91354583341899975</v>
      </c>
      <c r="P44" s="266">
        <f>IF(OR(P$37&lt;1000,P$17&lt;=0),"",P$12/P$17)</f>
        <v>0.9044605619960242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IF(F$44="","",F$41)</f>
        <v>0</v>
      </c>
      <c r="G46" s="317"/>
      <c r="H46" s="298"/>
      <c r="I46" s="294"/>
      <c r="J46" s="294"/>
      <c r="K46" s="266">
        <f>IF(K$44="","",K$41)</f>
        <v>0</v>
      </c>
      <c r="L46" s="317"/>
      <c r="M46" s="298"/>
      <c r="N46" s="294"/>
      <c r="O46" s="294"/>
      <c r="P46" s="266">
        <f>IF(P$44="","",P$41)</f>
        <v>0</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IF(F$44="","",ROUND(F$44+MAX(0,F$46),3))</f>
        <v>0.81299999999999994</v>
      </c>
      <c r="G47" s="317"/>
      <c r="H47" s="298"/>
      <c r="I47" s="294"/>
      <c r="J47" s="294"/>
      <c r="K47" s="266">
        <f>IF(K$44="","",ROUND(K$44+MAX(0,K$46),3))</f>
        <v>0.83499999999999996</v>
      </c>
      <c r="L47" s="317"/>
      <c r="M47" s="298"/>
      <c r="N47" s="294"/>
      <c r="O47" s="294"/>
      <c r="P47" s="266">
        <f>IF(P$44="","",ROUND(P$44+MAX(0,P$46),3))</f>
        <v>0.90400000000000003</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2028</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F$47</f>
        <v>0.81299999999999994</v>
      </c>
      <c r="G50" s="317"/>
      <c r="H50" s="299"/>
      <c r="I50" s="295"/>
      <c r="J50" s="295"/>
      <c r="K50" s="266">
        <f>K$47</f>
        <v>0.83499999999999996</v>
      </c>
      <c r="L50" s="317"/>
      <c r="M50" s="299"/>
      <c r="N50" s="295"/>
      <c r="O50" s="295"/>
      <c r="P50" s="266">
        <f>P$47</f>
        <v>0.90400000000000003</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78713749.139438123</v>
      </c>
      <c r="G51" s="317"/>
      <c r="H51" s="298"/>
      <c r="I51" s="294"/>
      <c r="J51" s="294"/>
      <c r="K51" s="121">
        <f>IF(K$37&lt;1000,"",MAX(0,J$15-J$16))</f>
        <v>227683937.75619194</v>
      </c>
      <c r="L51" s="317"/>
      <c r="M51" s="298"/>
      <c r="N51" s="294"/>
      <c r="O51" s="294"/>
      <c r="P51" s="121">
        <f>IF(P$37&lt;1000,"",MAX(0,O$15-O$16))</f>
        <v>155726596.50414914</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465761.00306545972</v>
      </c>
      <c r="E55" s="294"/>
      <c r="F55" s="294"/>
      <c r="G55" s="317"/>
      <c r="H55" s="298"/>
      <c r="I55" s="116">
        <v>1093375.8848310031</v>
      </c>
      <c r="J55" s="294"/>
      <c r="K55" s="294"/>
      <c r="L55" s="317"/>
      <c r="M55" s="298"/>
      <c r="N55" s="116">
        <v>738573.47879479988</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7451.9562670621781</v>
      </c>
      <c r="E56" s="294"/>
      <c r="F56" s="294"/>
      <c r="G56" s="317"/>
      <c r="H56" s="298"/>
      <c r="I56" s="116">
        <v>20364.857901599578</v>
      </c>
      <c r="J56" s="294"/>
      <c r="K56" s="294"/>
      <c r="L56" s="317"/>
      <c r="M56" s="298"/>
      <c r="N56" s="116">
        <v>-19141.773297156771</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14603</v>
      </c>
      <c r="D4" s="155">
        <f>'Pt 1 Summary of Data'!$K$56+'Pt 1 Summary of Data'!$M$56-'Pt 1 Summary of Data'!$N$56</f>
        <v>24437</v>
      </c>
      <c r="E4" s="155">
        <f>'Pt 1 Summary of Data'!$Q$56+'Pt 1 Summary of Data'!$S$56-'Pt 1 Summary of Data'!$T$56</f>
        <v>16431</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t="s">
        <v>507</v>
      </c>
      <c r="C10" s="34"/>
      <c r="D10" s="35"/>
      <c r="E10" s="35"/>
      <c r="F10" s="35"/>
      <c r="G10" s="35"/>
      <c r="H10" s="35"/>
      <c r="I10" s="33"/>
      <c r="J10" s="33"/>
      <c r="K10" s="8"/>
    </row>
    <row r="11" spans="1:12" s="11" customFormat="1" ht="18" customHeight="1" x14ac:dyDescent="0.2">
      <c r="B11" s="72" t="s">
        <v>508</v>
      </c>
      <c r="C11" s="34"/>
      <c r="D11" s="35"/>
      <c r="E11" s="35"/>
      <c r="F11" s="35"/>
      <c r="G11" s="35"/>
      <c r="H11" s="35"/>
      <c r="I11" s="33"/>
      <c r="J11" s="33"/>
      <c r="K11" s="8"/>
    </row>
    <row r="12" spans="1:12" s="11" customFormat="1" ht="18" customHeight="1" x14ac:dyDescent="0.2">
      <c r="B12" s="72" t="s">
        <v>509</v>
      </c>
      <c r="C12" s="34"/>
      <c r="D12" s="35"/>
      <c r="E12" s="35"/>
      <c r="F12" s="35"/>
      <c r="G12" s="35"/>
      <c r="H12" s="35"/>
      <c r="I12" s="33"/>
      <c r="J12" s="33"/>
      <c r="K12" s="8"/>
    </row>
    <row r="13" spans="1:12" s="11" customFormat="1" ht="18" customHeight="1" x14ac:dyDescent="0.2">
      <c r="B13" s="72" t="s">
        <v>510</v>
      </c>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