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6" i="18" l="1"/>
  <c r="E16" i="18"/>
  <c r="X49" i="10" l="1"/>
  <c r="W49" i="10"/>
  <c r="V49" i="10"/>
  <c r="U49" i="10"/>
  <c r="T49" i="10"/>
  <c r="S49" i="10"/>
  <c r="R49" i="10"/>
  <c r="Q49" i="10"/>
  <c r="H11" i="16"/>
  <c r="H4" i="16"/>
  <c r="G4" i="16"/>
  <c r="F4" i="16"/>
  <c r="E4" i="16"/>
  <c r="D4" i="16"/>
  <c r="C4" i="16"/>
  <c r="AB52" i="10"/>
  <c r="X52" i="10"/>
  <c r="G11" i="16" s="1"/>
  <c r="T52" i="10"/>
  <c r="F11" i="16" s="1"/>
  <c r="AB51" i="10"/>
  <c r="X51" i="10"/>
  <c r="T51" i="10"/>
  <c r="P51" i="10"/>
  <c r="AB50" i="10"/>
  <c r="AB47" i="10"/>
  <c r="AB46" i="10"/>
  <c r="AB45" i="10"/>
  <c r="AA45" i="10"/>
  <c r="Z45" i="10"/>
  <c r="Y45" i="10"/>
  <c r="X45" i="10"/>
  <c r="X46" i="10" s="1"/>
  <c r="W45" i="10"/>
  <c r="V45" i="10"/>
  <c r="U45" i="10"/>
  <c r="T45" i="10"/>
  <c r="T47" i="10" s="1"/>
  <c r="T50" i="10" s="1"/>
  <c r="S45" i="10"/>
  <c r="R45" i="10"/>
  <c r="Q45" i="10"/>
  <c r="P44" i="10"/>
  <c r="O44" i="10"/>
  <c r="N44" i="10"/>
  <c r="M44" i="10"/>
  <c r="AB41" i="10"/>
  <c r="X41" i="10"/>
  <c r="T41" i="10"/>
  <c r="AB40" i="10"/>
  <c r="X40" i="10"/>
  <c r="T40" i="10"/>
  <c r="P40" i="10"/>
  <c r="K40" i="10"/>
  <c r="F40" i="10"/>
  <c r="AB38" i="10"/>
  <c r="X38" i="10"/>
  <c r="T38" i="10"/>
  <c r="P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3" i="10" s="1"/>
  <c r="W16" i="10"/>
  <c r="V13" i="10" s="1"/>
  <c r="T16" i="10"/>
  <c r="S16" i="10"/>
  <c r="P16" i="10"/>
  <c r="O16" i="10"/>
  <c r="L16" i="10"/>
  <c r="K16" i="10"/>
  <c r="J16" i="10"/>
  <c r="G16" i="10"/>
  <c r="F16" i="10"/>
  <c r="E16" i="10"/>
  <c r="AB15" i="10"/>
  <c r="AA15" i="10"/>
  <c r="X15" i="10"/>
  <c r="W15" i="10"/>
  <c r="T15" i="10"/>
  <c r="S15" i="10"/>
  <c r="P15" i="10"/>
  <c r="O15" i="10"/>
  <c r="L15" i="10"/>
  <c r="AB13" i="10"/>
  <c r="AA13" i="10"/>
  <c r="Z13" i="10"/>
  <c r="Y13" i="10"/>
  <c r="U13" i="10"/>
  <c r="S13" i="10"/>
  <c r="R13" i="10"/>
  <c r="Q13" i="10"/>
  <c r="P12" i="10"/>
  <c r="O12" i="10"/>
  <c r="N12" i="10"/>
  <c r="M12" i="10"/>
  <c r="K11" i="10"/>
  <c r="J11" i="10"/>
  <c r="F11" i="10"/>
  <c r="E11" i="10"/>
  <c r="L10" i="10"/>
  <c r="J10" i="10"/>
  <c r="K10" i="10" s="1"/>
  <c r="G10" i="10"/>
  <c r="E10" i="10"/>
  <c r="F10" i="10" s="1"/>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S22" i="4" s="1"/>
  <c r="AC55" i="18"/>
  <c r="AB55" i="18"/>
  <c r="AA55" i="18"/>
  <c r="Z55" i="18"/>
  <c r="Z22" i="4" s="1"/>
  <c r="Y55" i="18"/>
  <c r="Y22" i="4" s="1"/>
  <c r="X55" i="18"/>
  <c r="W55" i="18"/>
  <c r="W22" i="4" s="1"/>
  <c r="V55" i="18"/>
  <c r="U55" i="18"/>
  <c r="T55" i="18"/>
  <c r="T22" i="4" s="1"/>
  <c r="S55" i="18"/>
  <c r="R55" i="18"/>
  <c r="R22" i="4" s="1"/>
  <c r="Q55" i="18"/>
  <c r="Q22" i="4" s="1"/>
  <c r="P55" i="18"/>
  <c r="P22" i="4" s="1"/>
  <c r="O55" i="18"/>
  <c r="O22" i="4" s="1"/>
  <c r="N55" i="18"/>
  <c r="N22" i="4" s="1"/>
  <c r="M55" i="18"/>
  <c r="L55" i="18"/>
  <c r="L22" i="4" s="1"/>
  <c r="K55" i="18"/>
  <c r="K22" i="4" s="1"/>
  <c r="J55" i="18"/>
  <c r="J22" i="4" s="1"/>
  <c r="I55" i="18"/>
  <c r="I22" i="4" s="1"/>
  <c r="H55" i="18"/>
  <c r="H22" i="4" s="1"/>
  <c r="G55" i="18"/>
  <c r="G22" i="4" s="1"/>
  <c r="F55" i="18"/>
  <c r="F22" i="4" s="1"/>
  <c r="E55" i="18"/>
  <c r="E22" i="4" s="1"/>
  <c r="D55" i="18"/>
  <c r="D22" i="4" s="1"/>
  <c r="AU54" i="18"/>
  <c r="AU12" i="4" s="1"/>
  <c r="AT54" i="18"/>
  <c r="AT12" i="4" s="1"/>
  <c r="AS54" i="18"/>
  <c r="AS12" i="4" s="1"/>
  <c r="AC54" i="18"/>
  <c r="AB54" i="18"/>
  <c r="AB12" i="4" s="1"/>
  <c r="AA54" i="18"/>
  <c r="AA12" i="4" s="1"/>
  <c r="Z54" i="18"/>
  <c r="Z12" i="4" s="1"/>
  <c r="Y54" i="18"/>
  <c r="Y12" i="4" s="1"/>
  <c r="X54" i="18"/>
  <c r="W54" i="18"/>
  <c r="W12" i="4" s="1"/>
  <c r="V54" i="18"/>
  <c r="V12" i="4" s="1"/>
  <c r="U54" i="18"/>
  <c r="T54" i="18"/>
  <c r="T12" i="4" s="1"/>
  <c r="S54" i="18"/>
  <c r="R54" i="18"/>
  <c r="Q54" i="18"/>
  <c r="Q12" i="4" s="1"/>
  <c r="P54" i="18"/>
  <c r="P12" i="4" s="1"/>
  <c r="O54" i="18"/>
  <c r="O12" i="4" s="1"/>
  <c r="N54" i="18"/>
  <c r="M54" i="18"/>
  <c r="L54" i="18"/>
  <c r="L12" i="4" s="1"/>
  <c r="K54" i="18"/>
  <c r="K12" i="4" s="1"/>
  <c r="J54" i="18"/>
  <c r="J12" i="4" s="1"/>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C22" i="4"/>
  <c r="AB22" i="4"/>
  <c r="AA22" i="4"/>
  <c r="X22" i="4"/>
  <c r="V22" i="4"/>
  <c r="U22" i="4"/>
  <c r="S22" i="4"/>
  <c r="M22" i="4"/>
  <c r="AC12" i="4"/>
  <c r="X12" i="4"/>
  <c r="U12" i="4"/>
  <c r="S12" i="4"/>
  <c r="R12" i="4"/>
  <c r="N12" i="4"/>
  <c r="M12" i="4"/>
  <c r="I12" i="4"/>
  <c r="H12" i="4"/>
  <c r="G12" i="4"/>
  <c r="F12" i="4"/>
  <c r="E12" i="4"/>
  <c r="D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J15" i="10" l="1"/>
  <c r="J7" i="10"/>
  <c r="K7" i="10" s="1"/>
  <c r="E15" i="10"/>
  <c r="F15" i="10" s="1"/>
  <c r="G20" i="10"/>
  <c r="K15" i="10"/>
  <c r="G15" i="10"/>
  <c r="G28" i="10" s="1"/>
  <c r="E7" i="10"/>
  <c r="L23" i="10"/>
  <c r="L27" i="10" s="1"/>
  <c r="L31" i="10" s="1"/>
  <c r="L32" i="10" s="1"/>
  <c r="L33" i="10" s="1"/>
  <c r="G29" i="10"/>
  <c r="G19" i="10"/>
  <c r="G24" i="10" s="1"/>
  <c r="G21" i="10"/>
  <c r="X47" i="10"/>
  <c r="X50" i="10" s="1"/>
  <c r="T46" i="10"/>
  <c r="P41" i="10"/>
  <c r="P46" i="10" s="1"/>
  <c r="P47" i="10" s="1"/>
  <c r="P50" i="10" s="1"/>
  <c r="P52" i="10" s="1"/>
  <c r="E11" i="16" s="1"/>
  <c r="T13" i="10"/>
  <c r="X13" i="10"/>
  <c r="J12" i="10" l="1"/>
  <c r="H12" i="10"/>
  <c r="I17" i="10"/>
  <c r="F7" i="10"/>
  <c r="E17" i="10" s="1"/>
  <c r="D17" i="10"/>
  <c r="J17" i="10"/>
  <c r="L26" i="10"/>
  <c r="L30" i="10" s="1"/>
  <c r="I12" i="10"/>
  <c r="I44" i="10" s="1"/>
  <c r="H17" i="10"/>
  <c r="H44" i="10" s="1"/>
  <c r="G23" i="10"/>
  <c r="G27" i="10" s="1"/>
  <c r="G31" i="10" s="1"/>
  <c r="G32" i="10" s="1"/>
  <c r="G33" i="10" s="1"/>
  <c r="J37" i="10"/>
  <c r="K17" i="10"/>
  <c r="G25" i="10"/>
  <c r="G26" i="10"/>
  <c r="G30" i="10" s="1"/>
  <c r="F17" i="10" l="1"/>
  <c r="C12" i="10"/>
  <c r="C44" i="10" s="1"/>
  <c r="E12" i="10"/>
  <c r="C17" i="10"/>
  <c r="D12" i="10"/>
  <c r="E37" i="10"/>
  <c r="J44" i="10"/>
  <c r="K37" i="10"/>
  <c r="K12" i="10"/>
  <c r="E44" i="10" l="1"/>
  <c r="F12" i="10"/>
  <c r="D44" i="10"/>
  <c r="F37" i="10"/>
  <c r="K51" i="10"/>
  <c r="K44" i="10"/>
  <c r="K38" i="10"/>
  <c r="K41" i="10" s="1"/>
  <c r="F38" i="10" l="1"/>
  <c r="F41" i="10" s="1"/>
  <c r="F46" i="10" s="1"/>
  <c r="F47" i="10" s="1"/>
  <c r="F50" i="10" s="1"/>
  <c r="F52" i="10" s="1"/>
  <c r="C11" i="16" s="1"/>
  <c r="F44" i="10"/>
  <c r="F51" i="10"/>
  <c r="K46" i="10"/>
  <c r="K47" i="10" s="1"/>
  <c r="K50" i="10" s="1"/>
  <c r="K52" i="10" s="1"/>
  <c r="D11" i="16"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<sst xmlns="http://schemas.openxmlformats.org/spreadsheetml/2006/main" count="569" uniqueCount="508">
  <si>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</si>
  <si>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</si>
  <si>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</si>
  <si>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</si>
  <si>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</si>
  <si>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</si>
  <si>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</si>
  <si>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</si>
  <si>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</si>
  <si>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</si>
  <si>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</si>
  <si>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</si>
  <si>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</si>
  <si>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</si>
  <si>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</si>
  <si>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</si>
  <si>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</si>
  <si>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</si>
  <si>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</si>
  <si>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</si>
  <si>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</si>
  <si>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</si>
  <si>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</si>
  <si>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</si>
  <si>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</si>
  <si>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</si>
  <si>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</si>
  <si>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</si>
  <si>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</si>
  <si>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</si>
  <si>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</si>
  <si>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</si>
  <si>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</si>
  <si>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</si>
  <si>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</si>
  <si>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</si>
  <si>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</si>
  <si>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</si>
  <si>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</si>
  <si>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</si>
  <si>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</si>
  <si>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</si>
  <si>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</si>
  <si>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</si>
  <si>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</si>
  <si>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</si>
  <si>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</si>
  <si>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</si>
  <si>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</si>
  <si>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</si>
  <si>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</si>
  <si>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</si>
  <si>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</si>
  <si>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</si>
  <si>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</si>
  <si>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</si>
  <si>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</si>
  <si>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</si>
  <si>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</si>
  <si>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</si>
  <si>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</si>
  <si>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</si>
  <si>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</si>
  <si>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</si>
  <si>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</si>
  <si>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</si>
  <si>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</si>
  <si>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</si>
  <si>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</si>
  <si>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</si>
  <si>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</si>
  <si>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</si>
  <si>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</si>
  <si>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</si>
  <si>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</si>
  <si>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</si>
  <si>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</si>
  <si>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</si>
  <si>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</si>
  <si>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</si>
  <si>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</si>
  <si>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</si>
  <si>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</si>
  <si>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</si>
  <si>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</si>
  <si>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</si>
  <si>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</si>
  <si>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</si>
  <si>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</si>
  <si>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</si>
  <si>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</si>
  <si>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</si>
  <si>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</si>
  <si>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</si>
  <si>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</si>
  <si>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</si>
  <si>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</si>
  <si>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</si>
  <si>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</si>
  <si>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</si>
  <si>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</si>
  <si>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</si>
  <si>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</si>
  <si>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</si>
  <si>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</si>
  <si>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</si>
  <si>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</si>
  <si>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</si>
  <si>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</si>
  <si>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</si>
  <si>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</si>
  <si>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</si>
  <si>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</si>
  <si>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</si>
  <si>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</si>
  <si>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</si>
  <si>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</si>
  <si>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</si>
  <si>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</si>
  <si>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</si>
  <si>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</si>
  <si>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</si>
  <si>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</si>
  <si>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</si>
  <si>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</si>
  <si>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</si>
  <si>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</si>
  <si>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</si>
  <si>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</si>
  <si>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</si>
  <si>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</si>
  <si>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</si>
  <si>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</si>
  <si>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</si>
  <si>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</si>
  <si>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</si>
  <si>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</si>
  <si>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</si>
  <si>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</si>
  <si>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</si>
  <si>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</si>
  <si>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</si>
  <si>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</si>
  <si>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</si>
  <si>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</si>
  <si>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</si>
  <si>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</si>
  <si>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</si>
  <si>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</si>
  <si>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</si>
  <si>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</si>
  <si>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</si>
  <si>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</si>
  <si>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</si>
  <si>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</si>
  <si>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</si>
  <si>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</si>
  <si>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</si>
  <si>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</si>
  <si>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</si>
  <si>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</si>
  <si>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</si>
  <si>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</si>
  <si>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</si>
  <si>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</si>
  <si>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</si>
  <si>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</si>
  <si>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</si>
  <si>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</si>
  <si>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</si>
  <si>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</si>
  <si>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</si>
  <si>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</si>
  <si>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</si>
  <si>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</si>
  <si>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</si>
  <si>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</si>
  <si>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</si>
  <si>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</si>
  <si>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</si>
  <si>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</si>
  <si>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</si>
  <si>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</si>
  <si>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</si>
  <si>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</si>
  <si>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</si>
  <si>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</si>
  <si>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</si>
  <si>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</si>
  <si>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</si>
  <si>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</si>
  <si>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</si>
  <si>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</si>
  <si>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</si>
  <si>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</si>
  <si>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</si>
  <si>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</si>
  <si>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</si>
  <si>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</si>
  <si>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</si>
  <si>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</si>
  <si>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</si>
  <si>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</si>
  <si>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</si>
  <si>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</si>
  <si>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</si>
  <si>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</si>
  <si>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</si>
  <si>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</si>
  <si>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</si>
  <si>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</si>
  <si>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</si>
  <si>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</si>
  <si>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</si>
  <si>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</si>
  <si>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</si>
  <si>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</si>
  <si>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</si>
  <si>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</si>
  <si>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</si>
  <si>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</si>
  <si>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</si>
  <si>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</si>
  <si>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</si>
  <si>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</si>
  <si>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</si>
  <si>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</si>
  <si>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</si>
  <si>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</si>
  <si>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</si>
  <si>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</si>
  <si>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</si>
  <si>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</si>
  <si>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</si>
  <si>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</si>
  <si>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</si>
  <si>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</si>
  <si>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</si>
  <si>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</si>
  <si>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</si>
  <si>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</si>
  <si>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</si>
  <si>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</si>
  <si>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</si>
  <si>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</si>
  <si>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</si>
  <si>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</si>
  <si>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</si>
  <si>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</si>
  <si>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</si>
  <si>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</si>
  <si>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</si>
  <si>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</si>
  <si>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</si>
  <si>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</si>
  <si>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</si>
  <si>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</si>
  <si>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</si>
  <si>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</si>
  <si>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</si>
  <si>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</si>
  <si>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</si>
  <si>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</si>
  <si>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</si>
  <si>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</si>
  <si>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</si>
  <si>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</si>
  <si>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</si>
  <si>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</si>
  <si>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</si>
  <si>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</si>
  <si>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</si>
  <si>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</si>
  <si>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</si>
  <si>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</si>
  <si>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</si>
  <si>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</si>
  <si>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</si>
  <si>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</si>
  <si>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</si>
  <si>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</si>
  <si>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</si>
  <si>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</si>
  <si>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</si>
  <si>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</si>
  <si>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</si>
  <si>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</si>
  <si>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</si>
  <si>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</si>
  <si>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</si>
  <si>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</si>
  <si>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</si>
  <si>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</si>
  <si>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</si>
  <si>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</si>
  <si>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</si>
  <si>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</si>
  <si>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</si>
  <si>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</si>
  <si>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</si>
  <si>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</si>
  <si>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</si>
  <si>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</si>
  <si>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</si>
  <si>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</si>
  <si>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</si>
  <si>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</si>
  <si>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</si>
  <si>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</si>
  <si>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</si>
  <si>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</si>
  <si>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</si>
  <si>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</si>
  <si>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</si>
  <si>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</si>
  <si>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</si>
  <si>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</si>
  <si>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</si>
  <si>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</si>
  <si>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</si>
  <si>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</si>
  <si>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</si>
  <si>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</si>
  <si>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</si>
  <si>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</si>
  <si>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</si>
  <si>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</si>
  <si>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</si>
  <si>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</si>
  <si>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</si>
  <si>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</si>
  <si>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</si>
  <si>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</si>
  <si>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</si>
  <si>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</si>
  <si>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</si>
  <si>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</si>
  <si>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</si>
  <si>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</si>
  <si>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</si>
  <si>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</si>
  <si>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</si>
  <si>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</si>
  <si>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</si>
  <si>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</si>
  <si>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</si>
  <si>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</si>
  <si>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</si>
  <si>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</si>
  <si>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</si>
  <si>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</si>
  <si>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</si>
  <si>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</si>
  <si>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</si>
  <si>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</si>
  <si>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</si>
  <si>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</si>
  <si>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</si>
  <si>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</si>
  <si>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</si>
  <si>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</si>
  <si>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</si>
  <si>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</si>
  <si>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</si>
  <si>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</si>
  <si>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</si>
  <si>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</si>
  <si>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</si>
  <si>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</si>
  <si>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</si>
  <si>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</si>
  <si>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</si>
  <si>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</si>
  <si>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</si>
  <si>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</si>
  <si>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</si>
  <si>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</si>
  <si>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</si>
  <si>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</si>
  <si>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</si>
  <si>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</si>
  <si>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</si>
  <si>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</si>
  <si>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</si>
  <si>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</si>
  <si>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</si>
  <si>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</si>
  <si>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</si>
  <si>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</si>
  <si>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</si>
  <si>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</si>
  <si>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</si>
  <si>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</si>
  <si>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</si>
  <si>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</si>
  <si>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</si>
  <si>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</si>
  <si>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</si>
  <si>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</si>
  <si>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</si>
  <si>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</si>
  <si>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</si>
  <si>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</si>
  <si>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</si>
  <si>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</si>
  <si>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</si>
  <si>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</si>
  <si>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</si>
  <si>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</si>
  <si>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</si>
  <si>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</si>
  <si>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</si>
  <si>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</si>
  <si>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</si>
  <si>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</si>
  <si>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</si>
  <si>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</si>
  <si>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</si>
  <si>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</si>
  <si>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</si>
  <si>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</si>
  <si>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</si>
  <si>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</si>
  <si>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</si>
  <si>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</si>
  <si>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</si>
  <si>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</si>
  <si>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</si>
  <si>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</si>
  <si>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</si>
  <si>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</si>
  <si>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</si>
  <si>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</si>
  <si>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</si>
  <si>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</si>
  <si>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</si>
  <si>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</si>
  <si>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</si>
  <si>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</si>
  <si>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</si>
  <si>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</si>
  <si>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</si>
  <si>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</si>
  <si>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</si>
  <si>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</si>
  <si>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</si>
  <si>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</si>
  <si>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</si>
  <si>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</si>
  <si>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</si>
  <si>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</si>
  <si>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</si>
  <si>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</si>
  <si>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</si>
  <si>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</si>
  <si>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</si>
  <si>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</si>
  <si>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</si>
  <si>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</si>
  <si>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</si>
  <si>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</si>
  <si>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</si>
  <si>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</si>
  <si>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</si>
  <si>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</si>
  <si>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</si>
  <si>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</si>
  <si>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</si>
  <si>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</si>
  <si>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</si>
  <si>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</si>
  <si>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</si>
  <si>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</si>
  <si>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</si>
  <si>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</si>
  <si>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</si>
  <si>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</si>
  <si>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</si>
  <si>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</si>
  <si>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</si>
  <si>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</si>
  <si>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</si>
  <si>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</si>
  <si>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</si>
  <si>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</si>
  <si>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</si>
  <si>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</si>
  <si>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</si>
  <si>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</si>
  <si>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</si>
  <si>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</si>
  <si>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</si>
  <si>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</si>
  <si>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</si>
  <si>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</si>
  <si>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</si>
  <si>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</si>
  <si>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</si>
  <si>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</si>
  <si>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</si>
  <si>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</si>
  <si>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</si>
  <si>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</si>
  <si>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99791</t>
  </si>
  <si>
    <t>219</t>
  </si>
  <si>
    <t>Humana Health Plan,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</si>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</sst>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155</v>
      </c>
    </row>
    <row r="13" spans="1:6" x14ac:dyDescent="0.2">
      <c r="B13" s="232" t="s">
        <v>50</v>
      </c>
      <c r="C13" s="378" t="s">
        <v>192</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43407696</v>
      </c>
      <c r="E5" s="106">
        <f>SUM('Pt 2 Premium and Claims'!E$5,'Pt 2 Premium and Claims'!E$6,-'Pt 2 Premium and Claims'!E$7,-'Pt 2 Premium and Claims'!E$13,'Pt 2 Premium and Claims'!E$14:'Pt 2 Premium and Claims'!E$17)</f>
        <v>62793028.741653197</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48400087</v>
      </c>
      <c r="K5" s="106">
        <f>SUM('Pt 2 Premium and Claims'!K$5,'Pt 2 Premium and Claims'!K$6,-'Pt 2 Premium and Claims'!K$7,-'Pt 2 Premium and Claims'!K$13,'Pt 2 Premium and Claims'!K$14,'Pt 2 Premium and Claims'!K$16:'Pt 2 Premium and Claims'!K$17)</f>
        <v>48966634.278944999</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27006855</v>
      </c>
      <c r="Q5" s="106">
        <f>SUM('Pt 2 Premium and Claims'!Q$5,'Pt 2 Premium and Claims'!Q$6,-'Pt 2 Premium and Claims'!Q$7,-'Pt 2 Premium and Claims'!Q$13,'Pt 2 Premium and Claims'!Q$14)</f>
        <v>21906184.699524902</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668715706</v>
      </c>
      <c r="AT5" s="107">
        <f>SUM('Pt 2 Premium and Claims'!AT$5,'Pt 2 Premium and Claims'!AT$6,-'Pt 2 Premium and Claims'!AT$7,-'Pt 2 Premium and Claims'!AT$13,'Pt 2 Premium and Claims'!AT$14)</f>
        <v>15501521</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-19596</v>
      </c>
      <c r="E7" s="110">
        <v>-19596</v>
      </c>
      <c r="F7" s="110"/>
      <c r="G7" s="110"/>
      <c r="H7" s="110"/>
      <c r="I7" s="109"/>
      <c r="J7" s="109">
        <v>-71487</v>
      </c>
      <c r="K7" s="110">
        <v>-70888.63605291376</v>
      </c>
      <c r="L7" s="110"/>
      <c r="M7" s="110"/>
      <c r="N7" s="110"/>
      <c r="O7" s="109"/>
      <c r="P7" s="109">
        <v>-48218</v>
      </c>
      <c r="Q7" s="110">
        <v>-40492.650145404776</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-19276</v>
      </c>
      <c r="AU7" s="113"/>
      <c r="AV7" s="311"/>
      <c r="AW7" s="318"/>
    </row>
    <row r="8" spans="1:49" ht="25.5" x14ac:dyDescent="0.2">
      <c r="B8" s="155" t="s">
        <v>225</v>
      </c>
      <c r="C8" s="62" t="s">
        <v>59</v>
      </c>
      <c r="D8" s="109">
        <v>-317738</v>
      </c>
      <c r="E8" s="289"/>
      <c r="F8" s="290"/>
      <c r="G8" s="290"/>
      <c r="H8" s="290"/>
      <c r="I8" s="293"/>
      <c r="J8" s="109">
        <v>-87823</v>
      </c>
      <c r="K8" s="289"/>
      <c r="L8" s="290"/>
      <c r="M8" s="290"/>
      <c r="N8" s="290"/>
      <c r="O8" s="293"/>
      <c r="P8" s="109">
        <v>-35599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-406674</v>
      </c>
      <c r="AT8" s="113">
        <v>-245414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50263885</v>
      </c>
      <c r="E12" s="106">
        <f>'Pt 2 Premium and Claims'!E$54</f>
        <v>52271674.784999989</v>
      </c>
      <c r="F12" s="106">
        <f>'Pt 2 Premium and Claims'!F$54</f>
        <v>0</v>
      </c>
      <c r="G12" s="106">
        <f>'Pt 2 Premium and Claims'!G$54</f>
        <v>0</v>
      </c>
      <c r="H12" s="106">
        <f>'Pt 2 Premium and Claims'!H$54</f>
        <v>0</v>
      </c>
      <c r="I12" s="105">
        <f>'Pt 2 Premium and Claims'!I$54</f>
        <v>0</v>
      </c>
      <c r="J12" s="105">
        <f>'Pt 2 Premium and Claims'!J$54</f>
        <v>32086963</v>
      </c>
      <c r="K12" s="106">
        <f>'Pt 2 Premium and Claims'!K$54</f>
        <v>33092838.875982501</v>
      </c>
      <c r="L12" s="106">
        <f>'Pt 2 Premium and Claims'!L$54</f>
        <v>0</v>
      </c>
      <c r="M12" s="106">
        <f>'Pt 2 Premium and Claims'!M$54</f>
        <v>0</v>
      </c>
      <c r="N12" s="106">
        <f>'Pt 2 Premium and Claims'!N$54</f>
        <v>0</v>
      </c>
      <c r="O12" s="105">
        <f>'Pt 2 Premium and Claims'!O$54</f>
        <v>0</v>
      </c>
      <c r="P12" s="105">
        <f>'Pt 2 Premium and Claims'!P$54</f>
        <v>19376512</v>
      </c>
      <c r="Q12" s="106">
        <f>'Pt 2 Premium and Claims'!Q$54</f>
        <v>15345632.207417507</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551107578</v>
      </c>
      <c r="AT12" s="107">
        <f>'Pt 2 Premium and Claims'!AT$54</f>
        <v>19852160</v>
      </c>
      <c r="AU12" s="107">
        <f>'Pt 2 Premium and Claims'!AU$54</f>
        <v>0</v>
      </c>
      <c r="AV12" s="312"/>
      <c r="AW12" s="317"/>
    </row>
    <row r="13" spans="1:49" ht="25.5" x14ac:dyDescent="0.2">
      <c r="B13" s="155" t="s">
        <v>230</v>
      </c>
      <c r="C13" s="62" t="s">
        <v>37</v>
      </c>
      <c r="D13" s="109">
        <v>5464321</v>
      </c>
      <c r="E13" s="110">
        <v>5492505.8999999994</v>
      </c>
      <c r="F13" s="110"/>
      <c r="G13" s="289"/>
      <c r="H13" s="290"/>
      <c r="I13" s="109"/>
      <c r="J13" s="109">
        <v>6972486</v>
      </c>
      <c r="K13" s="110">
        <v>7336004.9422453213</v>
      </c>
      <c r="L13" s="110"/>
      <c r="M13" s="289"/>
      <c r="N13" s="290"/>
      <c r="O13" s="109"/>
      <c r="P13" s="109">
        <v>3876952</v>
      </c>
      <c r="Q13" s="110">
        <v>3530351.8177546822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149849533</v>
      </c>
      <c r="AT13" s="113">
        <v>8113</v>
      </c>
      <c r="AU13" s="113"/>
      <c r="AV13" s="311"/>
      <c r="AW13" s="318"/>
    </row>
    <row r="14" spans="1:49" ht="25.5" x14ac:dyDescent="0.2">
      <c r="B14" s="155" t="s">
        <v>231</v>
      </c>
      <c r="C14" s="62" t="s">
        <v>6</v>
      </c>
      <c r="D14" s="109">
        <v>394820</v>
      </c>
      <c r="E14" s="110">
        <v>379208.03</v>
      </c>
      <c r="F14" s="110"/>
      <c r="G14" s="288"/>
      <c r="H14" s="291"/>
      <c r="I14" s="109"/>
      <c r="J14" s="109">
        <v>742818</v>
      </c>
      <c r="K14" s="110">
        <v>763488.71673018578</v>
      </c>
      <c r="L14" s="110"/>
      <c r="M14" s="288"/>
      <c r="N14" s="291"/>
      <c r="O14" s="109"/>
      <c r="P14" s="109">
        <v>390002</v>
      </c>
      <c r="Q14" s="110">
        <v>345442.05326981511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43234919</v>
      </c>
      <c r="AT14" s="113">
        <v>1794</v>
      </c>
      <c r="AU14" s="113"/>
      <c r="AV14" s="311"/>
      <c r="AW14" s="318"/>
    </row>
    <row r="15" spans="1:49" ht="38.25" x14ac:dyDescent="0.2">
      <c r="B15" s="155" t="s">
        <v>232</v>
      </c>
      <c r="C15" s="62" t="s">
        <v>7</v>
      </c>
      <c r="D15" s="109">
        <v>2001</v>
      </c>
      <c r="E15" s="110">
        <v>2001</v>
      </c>
      <c r="F15" s="110"/>
      <c r="G15" s="288"/>
      <c r="H15" s="294"/>
      <c r="I15" s="109"/>
      <c r="J15" s="109">
        <v>1762</v>
      </c>
      <c r="K15" s="110">
        <v>1762</v>
      </c>
      <c r="L15" s="110"/>
      <c r="M15" s="288"/>
      <c r="N15" s="294"/>
      <c r="O15" s="109"/>
      <c r="P15" s="109">
        <v>677</v>
      </c>
      <c r="Q15" s="110">
        <v>677</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21837</v>
      </c>
      <c r="AT15" s="113">
        <v>510</v>
      </c>
      <c r="AU15" s="113"/>
      <c r="AV15" s="311"/>
      <c r="AW15" s="318"/>
    </row>
    <row r="16" spans="1:49" ht="25.5" x14ac:dyDescent="0.2">
      <c r="B16" s="155" t="s">
        <v>233</v>
      </c>
      <c r="C16" s="62" t="s">
        <v>61</v>
      </c>
      <c r="D16" s="109">
        <v>-15339006</v>
      </c>
      <c r="E16" s="289"/>
      <c r="F16" s="290"/>
      <c r="G16" s="291"/>
      <c r="H16" s="291"/>
      <c r="I16" s="293"/>
      <c r="J16" s="109">
        <v>-126506</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-102528</v>
      </c>
      <c r="AT16" s="113">
        <v>-3051488</v>
      </c>
      <c r="AU16" s="113"/>
      <c r="AV16" s="311"/>
      <c r="AW16" s="318"/>
    </row>
    <row r="17" spans="1:49" x14ac:dyDescent="0.2">
      <c r="B17" s="155" t="s">
        <v>234</v>
      </c>
      <c r="C17" s="62" t="s">
        <v>62</v>
      </c>
      <c r="D17" s="109">
        <v>-20729</v>
      </c>
      <c r="E17" s="288"/>
      <c r="F17" s="291"/>
      <c r="G17" s="291"/>
      <c r="H17" s="291"/>
      <c r="I17" s="292"/>
      <c r="J17" s="109">
        <v>-312133</v>
      </c>
      <c r="K17" s="288"/>
      <c r="L17" s="291"/>
      <c r="M17" s="291"/>
      <c r="N17" s="291"/>
      <c r="O17" s="292"/>
      <c r="P17" s="109">
        <v>529159</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-146381</v>
      </c>
      <c r="AU17" s="113"/>
      <c r="AV17" s="311"/>
      <c r="AW17" s="318"/>
    </row>
    <row r="18" spans="1:49" x14ac:dyDescent="0.2">
      <c r="B18" s="155" t="s">
        <v>235</v>
      </c>
      <c r="C18" s="62" t="s">
        <v>63</v>
      </c>
      <c r="D18" s="109"/>
      <c r="E18" s="288"/>
      <c r="F18" s="291"/>
      <c r="G18" s="291"/>
      <c r="H18" s="294"/>
      <c r="I18" s="292"/>
      <c r="J18" s="109">
        <v>905110</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970384</v>
      </c>
      <c r="K19" s="288"/>
      <c r="L19" s="291"/>
      <c r="M19" s="291"/>
      <c r="N19" s="291"/>
      <c r="O19" s="292"/>
      <c r="P19" s="109">
        <v>529159</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377407</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41054</v>
      </c>
      <c r="E22" s="115">
        <f>'Pt 2 Premium and Claims'!E$55</f>
        <v>41054</v>
      </c>
      <c r="F22" s="115">
        <f>'Pt 2 Premium and Claims'!F$55</f>
        <v>0</v>
      </c>
      <c r="G22" s="115">
        <f>'Pt 2 Premium and Claims'!G$55</f>
        <v>0</v>
      </c>
      <c r="H22" s="115">
        <f>'Pt 2 Premium and Claims'!H$55</f>
        <v>0</v>
      </c>
      <c r="I22" s="114">
        <f>'Pt 2 Premium and Claims'!I$55</f>
        <v>0</v>
      </c>
      <c r="J22" s="114">
        <f>'Pt 2 Premium and Claims'!J$55</f>
        <v>80456</v>
      </c>
      <c r="K22" s="115">
        <f>'Pt 2 Premium and Claims'!K$55</f>
        <v>80444.97</v>
      </c>
      <c r="L22" s="115">
        <f>'Pt 2 Premium and Claims'!L$55</f>
        <v>0</v>
      </c>
      <c r="M22" s="115">
        <f>'Pt 2 Premium and Claims'!M$55</f>
        <v>0</v>
      </c>
      <c r="N22" s="115">
        <f>'Pt 2 Premium and Claims'!N$55</f>
        <v>0</v>
      </c>
      <c r="O22" s="114">
        <f>'Pt 2 Premium and Claims'!O$55</f>
        <v>0</v>
      </c>
      <c r="P22" s="114">
        <f>'Pt 2 Premium and Claims'!P$55</f>
        <v>42921</v>
      </c>
      <c r="Q22" s="115">
        <f>'Pt 2 Premium and Claims'!Q$55</f>
        <v>42806.61</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543038.99879999994</v>
      </c>
      <c r="E25" s="110">
        <v>543038.99879999994</v>
      </c>
      <c r="F25" s="110"/>
      <c r="G25" s="110"/>
      <c r="H25" s="110"/>
      <c r="I25" s="109"/>
      <c r="J25" s="109">
        <v>2198751.5660000001</v>
      </c>
      <c r="K25" s="110">
        <v>2180347.4692314435</v>
      </c>
      <c r="L25" s="110"/>
      <c r="M25" s="110"/>
      <c r="N25" s="110"/>
      <c r="O25" s="109"/>
      <c r="P25" s="109">
        <v>883145.57860000001</v>
      </c>
      <c r="Q25" s="110">
        <v>741650.5234914528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9748075.7430000007</v>
      </c>
      <c r="AT25" s="113">
        <v>-1142603.0819999999</v>
      </c>
      <c r="AU25" s="113"/>
      <c r="AV25" s="113"/>
      <c r="AW25" s="318"/>
    </row>
    <row r="26" spans="1:49" s="5" customFormat="1" x14ac:dyDescent="0.2">
      <c r="A26" s="35"/>
      <c r="B26" s="158" t="s">
        <v>243</v>
      </c>
      <c r="C26" s="62"/>
      <c r="D26" s="109"/>
      <c r="E26" s="110">
        <v>20204.260000000002</v>
      </c>
      <c r="F26" s="110"/>
      <c r="G26" s="110"/>
      <c r="H26" s="110"/>
      <c r="I26" s="109"/>
      <c r="J26" s="109"/>
      <c r="K26" s="110">
        <v>24324.727388333227</v>
      </c>
      <c r="L26" s="110"/>
      <c r="M26" s="110"/>
      <c r="N26" s="110"/>
      <c r="O26" s="109"/>
      <c r="P26" s="109"/>
      <c r="Q26" s="110">
        <v>9226.3920069996675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539663.89</v>
      </c>
      <c r="E27" s="110">
        <v>539663.89</v>
      </c>
      <c r="F27" s="110"/>
      <c r="G27" s="110"/>
      <c r="H27" s="110"/>
      <c r="I27" s="109"/>
      <c r="J27" s="109">
        <v>654911.93999999994</v>
      </c>
      <c r="K27" s="110">
        <v>649430.16438468103</v>
      </c>
      <c r="L27" s="110"/>
      <c r="M27" s="110"/>
      <c r="N27" s="110"/>
      <c r="O27" s="109"/>
      <c r="P27" s="109">
        <v>279879.11</v>
      </c>
      <c r="Q27" s="110">
        <v>235037.68062211742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8307780.1200000001</v>
      </c>
      <c r="AT27" s="113">
        <v>18159.940000000002</v>
      </c>
      <c r="AU27" s="113"/>
      <c r="AV27" s="314"/>
      <c r="AW27" s="318"/>
    </row>
    <row r="28" spans="1:49" s="5" customFormat="1" x14ac:dyDescent="0.2">
      <c r="A28" s="35"/>
      <c r="B28" s="158" t="s">
        <v>245</v>
      </c>
      <c r="C28" s="62"/>
      <c r="D28" s="109">
        <v>298061.2</v>
      </c>
      <c r="E28" s="110">
        <v>96275.839999999997</v>
      </c>
      <c r="F28" s="110"/>
      <c r="G28" s="110"/>
      <c r="H28" s="110"/>
      <c r="I28" s="109"/>
      <c r="J28" s="109">
        <v>756043.42</v>
      </c>
      <c r="K28" s="110">
        <v>94230.747604085089</v>
      </c>
      <c r="L28" s="110"/>
      <c r="M28" s="110"/>
      <c r="N28" s="110"/>
      <c r="O28" s="109"/>
      <c r="P28" s="109">
        <v>365489.35000000003</v>
      </c>
      <c r="Q28" s="110">
        <v>37495.69184449203</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41316.86</v>
      </c>
      <c r="AT28" s="113">
        <v>18787.829999999998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46509.752479999988</v>
      </c>
      <c r="E30" s="110">
        <v>56398.932479999989</v>
      </c>
      <c r="F30" s="110"/>
      <c r="G30" s="110"/>
      <c r="H30" s="110"/>
      <c r="I30" s="109"/>
      <c r="J30" s="109">
        <v>162993.75560000012</v>
      </c>
      <c r="K30" s="110">
        <v>153386.64751923378</v>
      </c>
      <c r="L30" s="110"/>
      <c r="M30" s="110"/>
      <c r="N30" s="110"/>
      <c r="O30" s="109"/>
      <c r="P30" s="109">
        <v>66550.046679999999</v>
      </c>
      <c r="Q30" s="110">
        <v>59747.541576225274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782249.26619999984</v>
      </c>
      <c r="AT30" s="113">
        <v>-75960.228710000025</v>
      </c>
      <c r="AU30" s="113"/>
      <c r="AV30" s="113"/>
      <c r="AW30" s="318"/>
    </row>
    <row r="31" spans="1:49" x14ac:dyDescent="0.2">
      <c r="B31" s="158" t="s">
        <v>248</v>
      </c>
      <c r="C31" s="62"/>
      <c r="D31" s="109">
        <v>460207.33</v>
      </c>
      <c r="E31" s="110">
        <v>411021.85000000003</v>
      </c>
      <c r="F31" s="110"/>
      <c r="G31" s="110"/>
      <c r="H31" s="110"/>
      <c r="I31" s="109"/>
      <c r="J31" s="109">
        <v>628787.88659999997</v>
      </c>
      <c r="K31" s="110">
        <v>623524.77580074989</v>
      </c>
      <c r="L31" s="110"/>
      <c r="M31" s="110"/>
      <c r="N31" s="110"/>
      <c r="O31" s="109"/>
      <c r="P31" s="109">
        <v>274945.84000000003</v>
      </c>
      <c r="Q31" s="110">
        <v>230894.80501170596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183100.45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564510.96</v>
      </c>
      <c r="F34" s="110"/>
      <c r="G34" s="110"/>
      <c r="H34" s="110"/>
      <c r="I34" s="109"/>
      <c r="J34" s="109"/>
      <c r="K34" s="110">
        <v>719220.77872994123</v>
      </c>
      <c r="L34" s="110"/>
      <c r="M34" s="110"/>
      <c r="N34" s="110"/>
      <c r="O34" s="109"/>
      <c r="P34" s="109"/>
      <c r="Q34" s="110">
        <v>296546.08169605071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27482.66</v>
      </c>
      <c r="E35" s="110">
        <v>33027.06</v>
      </c>
      <c r="F35" s="110"/>
      <c r="G35" s="110"/>
      <c r="H35" s="110"/>
      <c r="I35" s="109"/>
      <c r="J35" s="109">
        <v>26899.930000000004</v>
      </c>
      <c r="K35" s="110">
        <v>29961.4880505658</v>
      </c>
      <c r="L35" s="110"/>
      <c r="M35" s="110"/>
      <c r="N35" s="110"/>
      <c r="O35" s="109"/>
      <c r="P35" s="109">
        <v>12526.860000000002</v>
      </c>
      <c r="Q35" s="110">
        <v>10533.900335225422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386171.27999999985</v>
      </c>
      <c r="AT35" s="113">
        <v>6387.1499999999987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87564</v>
      </c>
      <c r="E37" s="118">
        <v>87563.950000000012</v>
      </c>
      <c r="F37" s="118"/>
      <c r="G37" s="118"/>
      <c r="H37" s="118"/>
      <c r="I37" s="117"/>
      <c r="J37" s="117">
        <v>192177</v>
      </c>
      <c r="K37" s="118">
        <v>191343.07999999996</v>
      </c>
      <c r="L37" s="118"/>
      <c r="M37" s="118"/>
      <c r="N37" s="118"/>
      <c r="O37" s="117"/>
      <c r="P37" s="117">
        <v>80052</v>
      </c>
      <c r="Q37" s="118">
        <v>72077.179999999993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4322725</v>
      </c>
      <c r="AT37" s="119">
        <v>788</v>
      </c>
      <c r="AU37" s="119"/>
      <c r="AV37" s="119"/>
      <c r="AW37" s="317"/>
    </row>
    <row r="38" spans="1:49" x14ac:dyDescent="0.2">
      <c r="B38" s="155" t="s">
        <v>255</v>
      </c>
      <c r="C38" s="62" t="s">
        <v>16</v>
      </c>
      <c r="D38" s="109">
        <v>18845</v>
      </c>
      <c r="E38" s="110">
        <v>18844.61</v>
      </c>
      <c r="F38" s="110"/>
      <c r="G38" s="110"/>
      <c r="H38" s="110"/>
      <c r="I38" s="109"/>
      <c r="J38" s="109">
        <v>78134</v>
      </c>
      <c r="K38" s="110">
        <v>77534.65999999996</v>
      </c>
      <c r="L38" s="110"/>
      <c r="M38" s="110"/>
      <c r="N38" s="110"/>
      <c r="O38" s="109"/>
      <c r="P38" s="109">
        <v>34228</v>
      </c>
      <c r="Q38" s="110">
        <v>28516.94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1537077</v>
      </c>
      <c r="AT38" s="113"/>
      <c r="AU38" s="113"/>
      <c r="AV38" s="113"/>
      <c r="AW38" s="318"/>
    </row>
    <row r="39" spans="1:49" x14ac:dyDescent="0.2">
      <c r="B39" s="158" t="s">
        <v>256</v>
      </c>
      <c r="C39" s="62" t="s">
        <v>17</v>
      </c>
      <c r="D39" s="109">
        <v>40627</v>
      </c>
      <c r="E39" s="110">
        <v>40627.430000000008</v>
      </c>
      <c r="F39" s="110"/>
      <c r="G39" s="110"/>
      <c r="H39" s="110"/>
      <c r="I39" s="109"/>
      <c r="J39" s="109">
        <v>80054</v>
      </c>
      <c r="K39" s="110">
        <v>79924.780000000013</v>
      </c>
      <c r="L39" s="110"/>
      <c r="M39" s="110"/>
      <c r="N39" s="110"/>
      <c r="O39" s="109"/>
      <c r="P39" s="109">
        <v>33007</v>
      </c>
      <c r="Q39" s="110">
        <v>31730.900000000005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1369177</v>
      </c>
      <c r="AT39" s="113">
        <v>3459</v>
      </c>
      <c r="AU39" s="113"/>
      <c r="AV39" s="113"/>
      <c r="AW39" s="318"/>
    </row>
    <row r="40" spans="1:49" x14ac:dyDescent="0.2">
      <c r="B40" s="158" t="s">
        <v>257</v>
      </c>
      <c r="C40" s="62" t="s">
        <v>38</v>
      </c>
      <c r="D40" s="109">
        <v>115448</v>
      </c>
      <c r="E40" s="110">
        <v>115447.86999999998</v>
      </c>
      <c r="F40" s="110"/>
      <c r="G40" s="110"/>
      <c r="H40" s="110"/>
      <c r="I40" s="109"/>
      <c r="J40" s="109">
        <v>566737</v>
      </c>
      <c r="K40" s="110">
        <v>566363.43000000005</v>
      </c>
      <c r="L40" s="110"/>
      <c r="M40" s="110"/>
      <c r="N40" s="110"/>
      <c r="O40" s="109"/>
      <c r="P40" s="109">
        <v>229442</v>
      </c>
      <c r="Q40" s="110">
        <v>226137.89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3926503</v>
      </c>
      <c r="AT40" s="113">
        <v>10759</v>
      </c>
      <c r="AU40" s="113"/>
      <c r="AV40" s="113"/>
      <c r="AW40" s="318"/>
    </row>
    <row r="41" spans="1:49" s="5" customFormat="1" ht="25.5" x14ac:dyDescent="0.2">
      <c r="A41" s="35"/>
      <c r="B41" s="158" t="s">
        <v>258</v>
      </c>
      <c r="C41" s="62" t="s">
        <v>129</v>
      </c>
      <c r="D41" s="109">
        <v>36350</v>
      </c>
      <c r="E41" s="110">
        <v>36350.33</v>
      </c>
      <c r="F41" s="110"/>
      <c r="G41" s="110"/>
      <c r="H41" s="110"/>
      <c r="I41" s="109"/>
      <c r="J41" s="109">
        <v>49565</v>
      </c>
      <c r="K41" s="110">
        <v>49191.74</v>
      </c>
      <c r="L41" s="110"/>
      <c r="M41" s="110"/>
      <c r="N41" s="110"/>
      <c r="O41" s="109"/>
      <c r="P41" s="109">
        <v>23207</v>
      </c>
      <c r="Q41" s="110">
        <v>19439.21</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1827939</v>
      </c>
      <c r="AT41" s="113">
        <v>10813</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429054</v>
      </c>
      <c r="E44" s="118">
        <v>429054</v>
      </c>
      <c r="F44" s="118"/>
      <c r="G44" s="118"/>
      <c r="H44" s="118"/>
      <c r="I44" s="117"/>
      <c r="J44" s="117">
        <v>742138</v>
      </c>
      <c r="K44" s="118">
        <v>736183.79886334529</v>
      </c>
      <c r="L44" s="118"/>
      <c r="M44" s="118"/>
      <c r="N44" s="118"/>
      <c r="O44" s="117"/>
      <c r="P44" s="117">
        <v>351464</v>
      </c>
      <c r="Q44" s="118">
        <v>289824.11891098355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8183187</v>
      </c>
      <c r="AT44" s="119">
        <v>14961</v>
      </c>
      <c r="AU44" s="119"/>
      <c r="AV44" s="119"/>
      <c r="AW44" s="317"/>
    </row>
    <row r="45" spans="1:49" x14ac:dyDescent="0.2">
      <c r="B45" s="161" t="s">
        <v>262</v>
      </c>
      <c r="C45" s="62" t="s">
        <v>19</v>
      </c>
      <c r="D45" s="109">
        <v>416495</v>
      </c>
      <c r="E45" s="110">
        <v>416495</v>
      </c>
      <c r="F45" s="110"/>
      <c r="G45" s="110"/>
      <c r="H45" s="110"/>
      <c r="I45" s="109"/>
      <c r="J45" s="109">
        <v>388102</v>
      </c>
      <c r="K45" s="110">
        <v>384988.24303089461</v>
      </c>
      <c r="L45" s="110"/>
      <c r="M45" s="110"/>
      <c r="N45" s="110"/>
      <c r="O45" s="109"/>
      <c r="P45" s="109">
        <v>173932</v>
      </c>
      <c r="Q45" s="110">
        <v>143427.74409448818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7726372</v>
      </c>
      <c r="AT45" s="113">
        <v>85363</v>
      </c>
      <c r="AU45" s="113"/>
      <c r="AV45" s="113"/>
      <c r="AW45" s="318"/>
    </row>
    <row r="46" spans="1:49" x14ac:dyDescent="0.2">
      <c r="B46" s="161" t="s">
        <v>263</v>
      </c>
      <c r="C46" s="62" t="s">
        <v>20</v>
      </c>
      <c r="D46" s="109">
        <v>397688</v>
      </c>
      <c r="E46" s="110">
        <v>397688</v>
      </c>
      <c r="F46" s="110"/>
      <c r="G46" s="110"/>
      <c r="H46" s="110"/>
      <c r="I46" s="109"/>
      <c r="J46" s="109">
        <v>215830</v>
      </c>
      <c r="K46" s="110">
        <v>214098.38777784701</v>
      </c>
      <c r="L46" s="110"/>
      <c r="M46" s="110"/>
      <c r="N46" s="110"/>
      <c r="O46" s="109"/>
      <c r="P46" s="109">
        <v>102126</v>
      </c>
      <c r="Q46" s="110">
        <v>84215.105865474441</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7816239</v>
      </c>
      <c r="AT46" s="113">
        <v>47645</v>
      </c>
      <c r="AU46" s="113"/>
      <c r="AV46" s="113"/>
      <c r="AW46" s="318"/>
    </row>
    <row r="47" spans="1:49" x14ac:dyDescent="0.2">
      <c r="B47" s="161" t="s">
        <v>264</v>
      </c>
      <c r="C47" s="62" t="s">
        <v>21</v>
      </c>
      <c r="D47" s="109">
        <v>2619982</v>
      </c>
      <c r="E47" s="110">
        <v>2619982</v>
      </c>
      <c r="F47" s="110"/>
      <c r="G47" s="110"/>
      <c r="H47" s="110"/>
      <c r="I47" s="109"/>
      <c r="J47" s="109">
        <v>2608429</v>
      </c>
      <c r="K47" s="110">
        <v>2587501.4758512797</v>
      </c>
      <c r="L47" s="110"/>
      <c r="M47" s="110"/>
      <c r="N47" s="110"/>
      <c r="O47" s="109"/>
      <c r="P47" s="109">
        <v>1035627.9999999999</v>
      </c>
      <c r="Q47" s="110">
        <v>853999.19371413311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10446931</v>
      </c>
      <c r="AT47" s="113">
        <v>1251900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71638.327519999992</v>
      </c>
      <c r="E49" s="110">
        <v>-31612.292480000011</v>
      </c>
      <c r="F49" s="110"/>
      <c r="G49" s="110"/>
      <c r="H49" s="110"/>
      <c r="I49" s="109"/>
      <c r="J49" s="109">
        <v>-62070.782200000016</v>
      </c>
      <c r="K49" s="110">
        <v>-144706.8967214227</v>
      </c>
      <c r="L49" s="110"/>
      <c r="M49" s="110"/>
      <c r="N49" s="110"/>
      <c r="O49" s="109"/>
      <c r="P49" s="109">
        <v>-10409.246680000004</v>
      </c>
      <c r="Q49" s="110">
        <v>-48068.107143985719</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1800246.9837999998</v>
      </c>
      <c r="AT49" s="113">
        <v>-47467.821289999993</v>
      </c>
      <c r="AU49" s="113"/>
      <c r="AV49" s="113"/>
      <c r="AW49" s="318"/>
    </row>
    <row r="50" spans="2:49" ht="25.5" x14ac:dyDescent="0.2">
      <c r="B50" s="155" t="s">
        <v>266</v>
      </c>
      <c r="C50" s="62"/>
      <c r="D50" s="109">
        <v>1398.6599999999996</v>
      </c>
      <c r="E50" s="110">
        <v>1398.6599999999996</v>
      </c>
      <c r="F50" s="110"/>
      <c r="G50" s="110"/>
      <c r="H50" s="110"/>
      <c r="I50" s="109"/>
      <c r="J50" s="109">
        <v>1545.98</v>
      </c>
      <c r="K50" s="110">
        <v>1533.5765442097759</v>
      </c>
      <c r="L50" s="110"/>
      <c r="M50" s="110"/>
      <c r="N50" s="110"/>
      <c r="O50" s="109"/>
      <c r="P50" s="109">
        <v>733.97</v>
      </c>
      <c r="Q50" s="110">
        <v>605.24608084211934</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23662.050000000007</v>
      </c>
      <c r="AT50" s="113">
        <v>307.12</v>
      </c>
      <c r="AU50" s="113"/>
      <c r="AV50" s="113"/>
      <c r="AW50" s="318"/>
    </row>
    <row r="51" spans="2:49" x14ac:dyDescent="0.2">
      <c r="B51" s="155" t="s">
        <v>267</v>
      </c>
      <c r="C51" s="62"/>
      <c r="D51" s="109">
        <v>2746954</v>
      </c>
      <c r="E51" s="110">
        <v>2746954</v>
      </c>
      <c r="F51" s="110"/>
      <c r="G51" s="110"/>
      <c r="H51" s="110"/>
      <c r="I51" s="109"/>
      <c r="J51" s="109">
        <v>2887004</v>
      </c>
      <c r="K51" s="110">
        <v>2863841.4581299885</v>
      </c>
      <c r="L51" s="110"/>
      <c r="M51" s="110"/>
      <c r="N51" s="110"/>
      <c r="O51" s="109"/>
      <c r="P51" s="109">
        <v>1352028</v>
      </c>
      <c r="Q51" s="110">
        <v>1114908.8493927666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37494736</v>
      </c>
      <c r="AT51" s="113">
        <v>631258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6712</v>
      </c>
      <c r="E56" s="122">
        <v>6394</v>
      </c>
      <c r="F56" s="122"/>
      <c r="G56" s="122"/>
      <c r="H56" s="122"/>
      <c r="I56" s="121"/>
      <c r="J56" s="121">
        <v>7396</v>
      </c>
      <c r="K56" s="122">
        <v>7291</v>
      </c>
      <c r="L56" s="122"/>
      <c r="M56" s="122"/>
      <c r="N56" s="122"/>
      <c r="O56" s="121"/>
      <c r="P56" s="121">
        <v>6291</v>
      </c>
      <c r="Q56" s="122">
        <v>1903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142857</v>
      </c>
      <c r="AT56" s="123">
        <v>21611</v>
      </c>
      <c r="AU56" s="123"/>
      <c r="AV56" s="123"/>
      <c r="AW56" s="309"/>
    </row>
    <row r="57" spans="2:49" x14ac:dyDescent="0.2">
      <c r="B57" s="161" t="s">
        <v>273</v>
      </c>
      <c r="C57" s="62" t="s">
        <v>25</v>
      </c>
      <c r="D57" s="124">
        <v>11104</v>
      </c>
      <c r="E57" s="125">
        <v>10950</v>
      </c>
      <c r="F57" s="125"/>
      <c r="G57" s="125"/>
      <c r="H57" s="125"/>
      <c r="I57" s="124"/>
      <c r="J57" s="124">
        <v>12824</v>
      </c>
      <c r="K57" s="125">
        <v>12564</v>
      </c>
      <c r="L57" s="125"/>
      <c r="M57" s="125"/>
      <c r="N57" s="125"/>
      <c r="O57" s="124"/>
      <c r="P57" s="124">
        <v>9254</v>
      </c>
      <c r="Q57" s="125">
        <v>3473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158640</v>
      </c>
      <c r="AT57" s="126">
        <v>41006</v>
      </c>
      <c r="AU57" s="126"/>
      <c r="AV57" s="126"/>
      <c r="AW57" s="310"/>
    </row>
    <row r="58" spans="2:49" x14ac:dyDescent="0.2">
      <c r="B58" s="161" t="s">
        <v>274</v>
      </c>
      <c r="C58" s="62" t="s">
        <v>26</v>
      </c>
      <c r="D58" s="330"/>
      <c r="E58" s="331"/>
      <c r="F58" s="331"/>
      <c r="G58" s="331"/>
      <c r="H58" s="331"/>
      <c r="I58" s="330"/>
      <c r="J58" s="124">
        <v>760</v>
      </c>
      <c r="K58" s="125">
        <v>760</v>
      </c>
      <c r="L58" s="125"/>
      <c r="M58" s="125"/>
      <c r="N58" s="125"/>
      <c r="O58" s="124"/>
      <c r="P58" s="124">
        <v>18</v>
      </c>
      <c r="Q58" s="125">
        <v>18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50</v>
      </c>
      <c r="AT58" s="126">
        <v>73</v>
      </c>
      <c r="AU58" s="126"/>
      <c r="AV58" s="126"/>
      <c r="AW58" s="310"/>
    </row>
    <row r="59" spans="2:49" x14ac:dyDescent="0.2">
      <c r="B59" s="161" t="s">
        <v>275</v>
      </c>
      <c r="C59" s="62" t="s">
        <v>27</v>
      </c>
      <c r="D59" s="124">
        <v>118198</v>
      </c>
      <c r="E59" s="125">
        <v>117992</v>
      </c>
      <c r="F59" s="125"/>
      <c r="G59" s="125"/>
      <c r="H59" s="125"/>
      <c r="I59" s="124"/>
      <c r="J59" s="124">
        <v>146199</v>
      </c>
      <c r="K59" s="125">
        <v>143300</v>
      </c>
      <c r="L59" s="125"/>
      <c r="M59" s="125"/>
      <c r="N59" s="125"/>
      <c r="O59" s="124"/>
      <c r="P59" s="124">
        <v>109551</v>
      </c>
      <c r="Q59" s="125">
        <v>49431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1847079</v>
      </c>
      <c r="AT59" s="126">
        <v>484434</v>
      </c>
      <c r="AU59" s="126"/>
      <c r="AV59" s="126"/>
      <c r="AW59" s="310"/>
    </row>
    <row r="60" spans="2:49" x14ac:dyDescent="0.2">
      <c r="B60" s="161" t="s">
        <v>276</v>
      </c>
      <c r="C60" s="62"/>
      <c r="D60" s="127">
        <f t="shared" ref="D60:AC60" si="0">D$59/12</f>
        <v>9849.8333333333339</v>
      </c>
      <c r="E60" s="128">
        <f t="shared" si="0"/>
        <v>9832.6666666666661</v>
      </c>
      <c r="F60" s="128">
        <f t="shared" si="0"/>
        <v>0</v>
      </c>
      <c r="G60" s="128">
        <f t="shared" si="0"/>
        <v>0</v>
      </c>
      <c r="H60" s="128">
        <f t="shared" si="0"/>
        <v>0</v>
      </c>
      <c r="I60" s="127">
        <f t="shared" si="0"/>
        <v>0</v>
      </c>
      <c r="J60" s="127">
        <f t="shared" si="0"/>
        <v>12183.25</v>
      </c>
      <c r="K60" s="128">
        <f t="shared" si="0"/>
        <v>11941.666666666666</v>
      </c>
      <c r="L60" s="128">
        <f t="shared" si="0"/>
        <v>0</v>
      </c>
      <c r="M60" s="128">
        <f t="shared" si="0"/>
        <v>0</v>
      </c>
      <c r="N60" s="128">
        <f t="shared" si="0"/>
        <v>0</v>
      </c>
      <c r="O60" s="127">
        <f t="shared" si="0"/>
        <v>0</v>
      </c>
      <c r="P60" s="127">
        <f t="shared" si="0"/>
        <v>9129.25</v>
      </c>
      <c r="Q60" s="128">
        <f t="shared" si="0"/>
        <v>4119.25</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153923.25</v>
      </c>
      <c r="AT60" s="129">
        <f>AT$59/12</f>
        <v>40369.5</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16" sqref="K1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43394365</v>
      </c>
      <c r="E5" s="118">
        <v>35065382.6516532</v>
      </c>
      <c r="F5" s="118"/>
      <c r="G5" s="130"/>
      <c r="H5" s="130"/>
      <c r="I5" s="117"/>
      <c r="J5" s="117">
        <v>48400087</v>
      </c>
      <c r="K5" s="118">
        <v>48901608.788944997</v>
      </c>
      <c r="L5" s="118"/>
      <c r="M5" s="118"/>
      <c r="N5" s="118"/>
      <c r="O5" s="117"/>
      <c r="P5" s="117">
        <v>27006855</v>
      </c>
      <c r="Q5" s="118">
        <v>21906184.699524902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668715706</v>
      </c>
      <c r="AT5" s="119">
        <v>15446706</v>
      </c>
      <c r="AU5" s="119"/>
      <c r="AV5" s="312"/>
      <c r="AW5" s="317"/>
    </row>
    <row r="6" spans="2:49" x14ac:dyDescent="0.2">
      <c r="B6" s="176" t="s">
        <v>279</v>
      </c>
      <c r="C6" s="133" t="s">
        <v>8</v>
      </c>
      <c r="D6" s="109">
        <v>46196</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71944</v>
      </c>
      <c r="AU6" s="113"/>
      <c r="AV6" s="311"/>
      <c r="AW6" s="318"/>
    </row>
    <row r="7" spans="2:49" x14ac:dyDescent="0.2">
      <c r="B7" s="176" t="s">
        <v>280</v>
      </c>
      <c r="C7" s="133" t="s">
        <v>9</v>
      </c>
      <c r="D7" s="109">
        <v>32865</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17129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0.17000000271946192</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v>0.4599999999627471</v>
      </c>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-12329879</v>
      </c>
      <c r="AT11" s="113"/>
      <c r="AU11" s="113"/>
      <c r="AV11" s="311"/>
      <c r="AW11" s="318"/>
    </row>
    <row r="12" spans="2:49" x14ac:dyDescent="0.2">
      <c r="B12" s="176" t="s">
        <v>283</v>
      </c>
      <c r="C12" s="133" t="s">
        <v>44</v>
      </c>
      <c r="D12" s="109"/>
      <c r="E12" s="289"/>
      <c r="F12" s="289"/>
      <c r="G12" s="289"/>
      <c r="H12" s="289"/>
      <c r="I12" s="293"/>
      <c r="J12" s="109">
        <v>0.38000000268220901</v>
      </c>
      <c r="K12" s="289"/>
      <c r="L12" s="289"/>
      <c r="M12" s="289"/>
      <c r="N12" s="289"/>
      <c r="O12" s="293"/>
      <c r="P12" s="109">
        <v>-0.43999999761581421</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-10776562</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15014843.869999997</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f>12712802.22</f>
        <v>12712802.220000001</v>
      </c>
      <c r="F16" s="110"/>
      <c r="G16" s="110"/>
      <c r="H16" s="110"/>
      <c r="I16" s="109"/>
      <c r="J16" s="109"/>
      <c r="K16" s="110">
        <f>28264.72+36760.77</f>
        <v>65025.49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68579</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-45665</v>
      </c>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44282693</v>
      </c>
      <c r="E23" s="288"/>
      <c r="F23" s="288"/>
      <c r="G23" s="288"/>
      <c r="H23" s="288"/>
      <c r="I23" s="292"/>
      <c r="J23" s="109">
        <v>34148629</v>
      </c>
      <c r="K23" s="288"/>
      <c r="L23" s="288"/>
      <c r="M23" s="288"/>
      <c r="N23" s="288"/>
      <c r="O23" s="292"/>
      <c r="P23" s="109">
        <v>20665068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547503370</v>
      </c>
      <c r="AT23" s="113">
        <v>19435774</v>
      </c>
      <c r="AU23" s="113"/>
      <c r="AV23" s="311"/>
      <c r="AW23" s="318"/>
    </row>
    <row r="24" spans="2:49" ht="28.5" customHeight="1" x14ac:dyDescent="0.2">
      <c r="B24" s="178" t="s">
        <v>114</v>
      </c>
      <c r="C24" s="133"/>
      <c r="D24" s="293"/>
      <c r="E24" s="110">
        <v>50985086.419999987</v>
      </c>
      <c r="F24" s="110"/>
      <c r="G24" s="110"/>
      <c r="H24" s="110"/>
      <c r="I24" s="109"/>
      <c r="J24" s="293"/>
      <c r="K24" s="110">
        <v>33430169.29000001</v>
      </c>
      <c r="L24" s="110"/>
      <c r="M24" s="110"/>
      <c r="N24" s="110"/>
      <c r="O24" s="109"/>
      <c r="P24" s="293"/>
      <c r="Q24" s="110">
        <v>15265322.999999996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7235596</v>
      </c>
      <c r="E26" s="288"/>
      <c r="F26" s="288"/>
      <c r="G26" s="288"/>
      <c r="H26" s="288"/>
      <c r="I26" s="292"/>
      <c r="J26" s="109">
        <v>3018982</v>
      </c>
      <c r="K26" s="288"/>
      <c r="L26" s="288"/>
      <c r="M26" s="288"/>
      <c r="N26" s="288"/>
      <c r="O26" s="292"/>
      <c r="P26" s="109">
        <v>1790687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53986150</v>
      </c>
      <c r="AT26" s="113">
        <v>2843995</v>
      </c>
      <c r="AU26" s="113"/>
      <c r="AV26" s="311"/>
      <c r="AW26" s="318"/>
    </row>
    <row r="27" spans="2:49" s="5" customFormat="1" ht="25.5" x14ac:dyDescent="0.2">
      <c r="B27" s="178" t="s">
        <v>85</v>
      </c>
      <c r="C27" s="133"/>
      <c r="D27" s="293"/>
      <c r="E27" s="110">
        <v>1150357.3950000003</v>
      </c>
      <c r="F27" s="110"/>
      <c r="G27" s="110"/>
      <c r="H27" s="110"/>
      <c r="I27" s="109"/>
      <c r="J27" s="293"/>
      <c r="K27" s="110">
        <v>470777.87271267653</v>
      </c>
      <c r="L27" s="110"/>
      <c r="M27" s="110"/>
      <c r="N27" s="110"/>
      <c r="O27" s="109"/>
      <c r="P27" s="293"/>
      <c r="Q27" s="110">
        <v>196146.91068732558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1716462</v>
      </c>
      <c r="E28" s="289"/>
      <c r="F28" s="289"/>
      <c r="G28" s="289"/>
      <c r="H28" s="289"/>
      <c r="I28" s="293"/>
      <c r="J28" s="109">
        <v>5307704</v>
      </c>
      <c r="K28" s="289"/>
      <c r="L28" s="289"/>
      <c r="M28" s="289"/>
      <c r="N28" s="289"/>
      <c r="O28" s="293"/>
      <c r="P28" s="109">
        <v>2574264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46225429</v>
      </c>
      <c r="AT28" s="113">
        <v>2328602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14789</v>
      </c>
      <c r="K30" s="288"/>
      <c r="L30" s="288"/>
      <c r="M30" s="288"/>
      <c r="N30" s="288"/>
      <c r="O30" s="292"/>
      <c r="P30" s="109">
        <v>651</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565497</v>
      </c>
      <c r="AU30" s="113"/>
      <c r="AV30" s="311"/>
      <c r="AW30" s="318"/>
    </row>
    <row r="31" spans="2:49" s="5" customFormat="1" ht="25.5" x14ac:dyDescent="0.2">
      <c r="B31" s="178" t="s">
        <v>84</v>
      </c>
      <c r="C31" s="133"/>
      <c r="D31" s="293"/>
      <c r="E31" s="110"/>
      <c r="F31" s="110"/>
      <c r="G31" s="110"/>
      <c r="H31" s="110"/>
      <c r="I31" s="109"/>
      <c r="J31" s="293"/>
      <c r="K31" s="110">
        <v>14789.43</v>
      </c>
      <c r="L31" s="110"/>
      <c r="M31" s="110"/>
      <c r="N31" s="110"/>
      <c r="O31" s="109"/>
      <c r="P31" s="293"/>
      <c r="Q31" s="110">
        <v>-10116.65</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10768</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664843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2913857</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2913857</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2398418</v>
      </c>
      <c r="E36" s="110">
        <v>2398418</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905110</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1003552</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377407</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-12329879</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970384</v>
      </c>
      <c r="K43" s="289"/>
      <c r="L43" s="289"/>
      <c r="M43" s="289"/>
      <c r="N43" s="289"/>
      <c r="O43" s="293"/>
      <c r="P43" s="109">
        <v>529159</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-10776562</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105600</v>
      </c>
      <c r="E49" s="110">
        <v>379208.03</v>
      </c>
      <c r="F49" s="110"/>
      <c r="G49" s="110"/>
      <c r="H49" s="110"/>
      <c r="I49" s="109"/>
      <c r="J49" s="109">
        <v>217959</v>
      </c>
      <c r="K49" s="110">
        <v>763488.71673018578</v>
      </c>
      <c r="L49" s="110"/>
      <c r="M49" s="110"/>
      <c r="N49" s="110"/>
      <c r="O49" s="109"/>
      <c r="P49" s="109">
        <v>78645</v>
      </c>
      <c r="Q49" s="110">
        <v>345442.05326981511</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10456522</v>
      </c>
      <c r="AT49" s="113">
        <v>427</v>
      </c>
      <c r="AU49" s="113"/>
      <c r="AV49" s="311"/>
      <c r="AW49" s="318"/>
    </row>
    <row r="50" spans="2:49" x14ac:dyDescent="0.2">
      <c r="B50" s="176" t="s">
        <v>119</v>
      </c>
      <c r="C50" s="133" t="s">
        <v>34</v>
      </c>
      <c r="D50" s="109">
        <v>52219</v>
      </c>
      <c r="E50" s="289"/>
      <c r="F50" s="289"/>
      <c r="G50" s="289"/>
      <c r="H50" s="289"/>
      <c r="I50" s="293"/>
      <c r="J50" s="109">
        <v>128860.99999999999</v>
      </c>
      <c r="K50" s="289"/>
      <c r="L50" s="289"/>
      <c r="M50" s="289"/>
      <c r="N50" s="289"/>
      <c r="O50" s="293"/>
      <c r="P50" s="109">
        <v>102174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6849774</v>
      </c>
      <c r="AT50" s="113">
        <v>766</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-59409</v>
      </c>
      <c r="L53" s="110"/>
      <c r="M53" s="110"/>
      <c r="N53" s="110"/>
      <c r="O53" s="109"/>
      <c r="P53" s="109"/>
      <c r="Q53" s="110">
        <v>239721</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50263885</v>
      </c>
      <c r="E54" s="115">
        <f>E24+E27+E31+E35-E36+E39+E42+E45+E46-E49+E51+E52+E53</f>
        <v>52271674.784999989</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32086963</v>
      </c>
      <c r="K54" s="115">
        <f>K24+K27+K31+K35-K36+K39+K42+K45+K46-K49+K51+K52+K53</f>
        <v>33092838.875982501</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19376512</v>
      </c>
      <c r="Q54" s="115">
        <f>Q24+Q27+Q31+Q35-Q36+Q39+Q42+Q45+Q46-Q49+Q51+Q52+Q53</f>
        <v>15345632.207417507</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551107578</v>
      </c>
      <c r="AT54" s="116">
        <f>AT23+AT26-AT28+AT30-AT32+AT34-AT36+AT38+AT41-AT43+AT45+AT46-AT47-AT49+AT50+AT51+AT52+AT53</f>
        <v>19852160</v>
      </c>
      <c r="AU54" s="116">
        <f>AU23+AU26-AU28+AU30-AU32+AU34-AU36+AU38+AU41-AU43+AU45+AU46-AU47-AU49+AU50+AU51+AU52+AU53</f>
        <v>0</v>
      </c>
      <c r="AV54" s="311"/>
      <c r="AW54" s="318"/>
    </row>
    <row r="55" spans="2:49" ht="25.5" x14ac:dyDescent="0.2">
      <c r="B55" s="181" t="s">
        <v>304</v>
      </c>
      <c r="C55" s="137" t="s">
        <v>28</v>
      </c>
      <c r="D55" s="114">
        <f t="shared" ref="D55:AC55" si="0">MIN(MAX(0,D56),MAX(0,D57))</f>
        <v>41054</v>
      </c>
      <c r="E55" s="115">
        <f t="shared" si="0"/>
        <v>41054</v>
      </c>
      <c r="F55" s="115">
        <f t="shared" si="0"/>
        <v>0</v>
      </c>
      <c r="G55" s="115">
        <f t="shared" si="0"/>
        <v>0</v>
      </c>
      <c r="H55" s="115">
        <f t="shared" si="0"/>
        <v>0</v>
      </c>
      <c r="I55" s="114">
        <f t="shared" si="0"/>
        <v>0</v>
      </c>
      <c r="J55" s="114">
        <f t="shared" si="0"/>
        <v>80456</v>
      </c>
      <c r="K55" s="115">
        <f t="shared" si="0"/>
        <v>80444.97</v>
      </c>
      <c r="L55" s="115">
        <f t="shared" si="0"/>
        <v>0</v>
      </c>
      <c r="M55" s="115">
        <f t="shared" si="0"/>
        <v>0</v>
      </c>
      <c r="N55" s="115">
        <f t="shared" si="0"/>
        <v>0</v>
      </c>
      <c r="O55" s="114">
        <f t="shared" si="0"/>
        <v>0</v>
      </c>
      <c r="P55" s="114">
        <f t="shared" si="0"/>
        <v>42921</v>
      </c>
      <c r="Q55" s="115">
        <f t="shared" si="0"/>
        <v>42806.61</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v>41054</v>
      </c>
      <c r="E56" s="110">
        <v>41054</v>
      </c>
      <c r="F56" s="110"/>
      <c r="G56" s="110"/>
      <c r="H56" s="110"/>
      <c r="I56" s="109"/>
      <c r="J56" s="109">
        <v>80456</v>
      </c>
      <c r="K56" s="110">
        <v>80444.97</v>
      </c>
      <c r="L56" s="110"/>
      <c r="M56" s="110"/>
      <c r="N56" s="110"/>
      <c r="O56" s="109"/>
      <c r="P56" s="109">
        <v>42921</v>
      </c>
      <c r="Q56" s="110">
        <v>42806.61</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88158</v>
      </c>
      <c r="E57" s="110">
        <v>88158</v>
      </c>
      <c r="F57" s="110"/>
      <c r="G57" s="110"/>
      <c r="H57" s="110"/>
      <c r="I57" s="109"/>
      <c r="J57" s="109">
        <v>146173</v>
      </c>
      <c r="K57" s="110">
        <v>146090.16</v>
      </c>
      <c r="L57" s="110"/>
      <c r="M57" s="110"/>
      <c r="N57" s="110"/>
      <c r="O57" s="109"/>
      <c r="P57" s="109">
        <v>122705</v>
      </c>
      <c r="Q57" s="110">
        <v>120066.05</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7378898</v>
      </c>
      <c r="AT57" s="113">
        <v>58606</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H31" activePane="bottomRight" state="frozen"/>
      <selection activeCell="B1" sqref="B1"/>
      <selection pane="topRight" activeCell="B1" sqref="B1"/>
      <selection pane="bottomLeft" activeCell="B1" sqref="B1"/>
      <selection pane="bottomRight" activeCell="E10" sqref="E1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5200472.9799999995</v>
      </c>
      <c r="D5" s="118">
        <v>8801388.4155999999</v>
      </c>
      <c r="E5" s="346"/>
      <c r="F5" s="346"/>
      <c r="G5" s="312"/>
      <c r="H5" s="117">
        <v>30501010.050000001</v>
      </c>
      <c r="I5" s="118">
        <v>33313355.813489903</v>
      </c>
      <c r="J5" s="346"/>
      <c r="K5" s="346"/>
      <c r="L5" s="312"/>
      <c r="M5" s="117">
        <v>21820988.190000001</v>
      </c>
      <c r="N5" s="118">
        <v>20952151.002410095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5218796.3199999984</v>
      </c>
      <c r="D6" s="110">
        <v>8623020.5298999995</v>
      </c>
      <c r="E6" s="115">
        <f>SUM('Pt 1 Summary of Data'!E$12,'Pt 1 Summary of Data'!E$22)+SUM('Pt 1 Summary of Data'!G$12,'Pt 1 Summary of Data'!G$22)-SUM('Pt 1 Summary of Data'!H$12,'Pt 1 Summary of Data'!H$22)</f>
        <v>52312728.784999989</v>
      </c>
      <c r="F6" s="115">
        <f t="shared" ref="F6:F11" si="0">SUM(C6:E6)</f>
        <v>66154545.634899989</v>
      </c>
      <c r="G6" s="116">
        <f>SUM('Pt 1 Summary of Data'!I$12,'Pt 1 Summary of Data'!I$22)</f>
        <v>0</v>
      </c>
      <c r="H6" s="109">
        <v>30308706.585573707</v>
      </c>
      <c r="I6" s="110">
        <v>34401377.165117443</v>
      </c>
      <c r="J6" s="115">
        <f>SUM('Pt 1 Summary of Data'!K$12,'Pt 1 Summary of Data'!K$22)+SUM('Pt 1 Summary of Data'!M$12,'Pt 1 Summary of Data'!M$22)-SUM('Pt 1 Summary of Data'!N$12,'Pt 1 Summary of Data'!N$22)</f>
        <v>33173283.845982499</v>
      </c>
      <c r="K6" s="115">
        <f>SUM(H6:J6)</f>
        <v>97883367.596673638</v>
      </c>
      <c r="L6" s="116">
        <f>SUM('Pt 1 Summary of Data'!O$12,'Pt 1 Summary of Data'!O$22)</f>
        <v>0</v>
      </c>
      <c r="M6" s="109">
        <v>21741143.064426303</v>
      </c>
      <c r="N6" s="110">
        <v>20951762.527282547</v>
      </c>
      <c r="O6" s="115">
        <f>SUM('Pt 1 Summary of Data'!Q$12,'Pt 1 Summary of Data'!Q$22)+SUM('Pt 1 Summary of Data'!S$12,'Pt 1 Summary of Data'!S$22)-SUM('Pt 1 Summary of Data'!T$12,'Pt 1 Summary of Data'!T$22)</f>
        <v>15388438.817417506</v>
      </c>
      <c r="P6" s="115">
        <f>SUM(M6:O6)</f>
        <v>58081344.409126356</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38677.849999999991</v>
      </c>
      <c r="D7" s="110">
        <v>126413.42999999998</v>
      </c>
      <c r="E7" s="115">
        <f>SUM('Pt 1 Summary of Data'!E$37:E$41)+SUM('Pt 1 Summary of Data'!G$37:G$41)-SUM('Pt 1 Summary of Data'!H$37:H$41)+MAX(0,MIN('Pt 1 Summary of Data'!E$42+'Pt 1 Summary of Data'!G$42-'Pt 1 Summary of Data'!H$42,0.3%*('Pt 1 Summary of Data'!E$5+'Pt 1 Summary of Data'!G$5-'Pt 1 Summary of Data'!H$5-SUM(E$9:E$11))))</f>
        <v>298834.19</v>
      </c>
      <c r="F7" s="115">
        <f t="shared" si="0"/>
        <v>463925.47</v>
      </c>
      <c r="G7" s="116">
        <f>SUM('Pt 1 Summary of Data'!I$37:I$41)+MAX(0,MIN('Pt 1 Summary of Data'!I$42,0.3%*('Pt 1 Summary of Data'!I$5-SUM(G$9:G$10))))</f>
        <v>0</v>
      </c>
      <c r="H7" s="109">
        <v>301809.24000000005</v>
      </c>
      <c r="I7" s="110">
        <v>1010449.1400000001</v>
      </c>
      <c r="J7" s="115">
        <f>SUM('Pt 1 Summary of Data'!K$37:K$41)+SUM('Pt 1 Summary of Data'!M$37:M$41)-SUM('Pt 1 Summary of Data'!N$37:N$41)+MAX(0,MIN('Pt 1 Summary of Data'!K$42+'Pt 1 Summary of Data'!M$42-'Pt 1 Summary of Data'!N$42,0.3%*('Pt 1 Summary of Data'!K$5+'Pt 1 Summary of Data'!M$5-'Pt 1 Summary of Data'!N$5-SUM(J$10:J$11))))</f>
        <v>964357.69</v>
      </c>
      <c r="K7" s="115">
        <f>SUM(H7:J7)</f>
        <v>2276616.0700000003</v>
      </c>
      <c r="L7" s="116">
        <f>SUM('Pt 1 Summary of Data'!O$37:O$41)+MAX(0,MIN('Pt 1 Summary of Data'!O$42,0.3%*('Pt 1 Summary of Data'!O$5-L$10)))</f>
        <v>0</v>
      </c>
      <c r="M7" s="109">
        <v>1022874.9</v>
      </c>
      <c r="N7" s="110">
        <v>490829.58000000013</v>
      </c>
      <c r="O7" s="115">
        <f>SUM('Pt 1 Summary of Data'!Q$37:Q$41)+SUM('Pt 1 Summary of Data'!S$37:S$41)-SUM('Pt 1 Summary of Data'!T$37:T$41)+MAX(0,MIN('Pt 1 Summary of Data'!Q$42+'Pt 1 Summary of Data'!S$42-'Pt 1 Summary of Data'!T$42,0.3%*('Pt 1 Summary of Data'!Q$5+'Pt 1 Summary of Data'!S$5-'Pt 1 Summary of Data'!T$5)))</f>
        <v>377902.12000000005</v>
      </c>
      <c r="P7" s="115">
        <f>SUM(M7:O7)</f>
        <v>1891606.6000000003</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15014843.869999997</v>
      </c>
      <c r="F9" s="115">
        <f t="shared" si="0"/>
        <v>15014843.869999997</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12712802.220000001</v>
      </c>
      <c r="F10" s="115">
        <f t="shared" si="0"/>
        <v>12712802.220000001</v>
      </c>
      <c r="G10" s="116">
        <f>'Pt 2 Premium and Claims'!I$16</f>
        <v>0</v>
      </c>
      <c r="H10" s="292"/>
      <c r="I10" s="288"/>
      <c r="J10" s="115">
        <f>'Pt 2 Premium and Claims'!K$16+'Pt 2 Premium and Claims'!M$16-'Pt 2 Premium and Claims'!N$16</f>
        <v>65025.49</v>
      </c>
      <c r="K10" s="115">
        <f>SUM(H10:J10)</f>
        <v>65025.49</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5257474.1699999981</v>
      </c>
      <c r="D12" s="115">
        <f>SUM(D$6:D$7)+IF(AND(OR('Company Information'!$C$12="District of Columbia",'Company Information'!$C$12="Massachusetts",'Company Information'!$C$12="Vermont"),SUM($C$6:$F$11,$C$15:$F$16,$C$37:$D$37)&lt;&gt;0),SUM(I$6:I$7),0)</f>
        <v>8749433.9598999992</v>
      </c>
      <c r="E12" s="115">
        <f>SUM(E$6:E$7)-SUM(E$8:E$11)+IF(AND(OR('Company Information'!$C$12="District of Columbia",'Company Information'!$C$12="Massachusetts",'Company Information'!$C$12="Vermont"),SUM($C$6:$F$11,$C$15:$F$16,$C$37:$D$37)&lt;&gt;0),SUM(J$6:J$7)-SUM(J$10:J$11),0)</f>
        <v>24883916.88499999</v>
      </c>
      <c r="F12" s="115">
        <f>IFERROR(SUM(C$12:E$12)+C$17*MAX(0,E$49-C$49)+D$17*MAX(0,E$49-D$49),0)</f>
        <v>38890825.014899984</v>
      </c>
      <c r="G12" s="311"/>
      <c r="H12" s="114">
        <f>SUM(H$6:H$7)+IF(AND(OR('Company Information'!$C$12="District of Columbia",'Company Information'!$C$12="Massachusetts",'Company Information'!$C$12="Vermont"),SUM($H$6:$K$11,$H$15:$K$16,$H$37:$I$37)&lt;&gt;0),SUM(C$6:C$7),0)</f>
        <v>30610515.825573705</v>
      </c>
      <c r="I12" s="115">
        <f>SUM(I$6:I$7)+IF(AND(OR('Company Information'!$C$12="District of Columbia",'Company Information'!$C$12="Massachusetts",'Company Information'!$C$12="Vermont"),SUM($H$6:$K$11,$H$15:$K$16,$H$37:$I$37)&lt;&gt;0),SUM(D$6:D$7),0)</f>
        <v>35411826.305117443</v>
      </c>
      <c r="J12" s="115">
        <f>SUM(J$6:J$7)-SUM(J$10:J$11)+IF(AND(OR('Company Information'!$C$12="District of Columbia",'Company Information'!$C$12="Massachusetts",'Company Information'!$C$12="Vermont"),SUM($H$6:$K$11,$H$15:$K$16,$H$37:$I$37)&lt;&gt;0),SUM(E$6:E$7)-SUM(E$8:E$11),0)</f>
        <v>34072616.045982495</v>
      </c>
      <c r="K12" s="115">
        <f>IFERROR(SUM(H$12:J$12)+H$17*MAX(0,J$49-H$49)+I$17*MAX(0,J$49-I$49),0)</f>
        <v>100094958.17667365</v>
      </c>
      <c r="L12" s="311"/>
      <c r="M12" s="114">
        <f>SUM(M$6:M$7)</f>
        <v>22764017.964426301</v>
      </c>
      <c r="N12" s="115">
        <f>SUM(N$6:N$7)</f>
        <v>21442592.107282549</v>
      </c>
      <c r="O12" s="115">
        <f>SUM(O$6:O$7)</f>
        <v>15766340.937417505</v>
      </c>
      <c r="P12" s="115">
        <f>SUM(M$12:O$12)+M$17*MAX(0,O$49-M$49)+N$17*MAX(0,O$49-N$49)</f>
        <v>59972951.009126358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8287435.0399999991</v>
      </c>
      <c r="D15" s="118">
        <v>10025868.833931409</v>
      </c>
      <c r="E15" s="106">
        <f>SUM('Pt 1 Summary of Data'!E$5:E$7)+SUM('Pt 1 Summary of Data'!G$5:G$7)-SUM('Pt 1 Summary of Data'!H$5:H$7)-SUM(E$9:E$11)+D$55</f>
        <v>35162901.487721793</v>
      </c>
      <c r="F15" s="106">
        <f>SUM(C15:E15)</f>
        <v>53476205.361653201</v>
      </c>
      <c r="G15" s="107">
        <f>SUM('Pt 1 Summary of Data'!I$5:I$7)-SUM(G$9:G$10)</f>
        <v>0</v>
      </c>
      <c r="H15" s="117">
        <v>43032249.420000002</v>
      </c>
      <c r="I15" s="118">
        <v>44740497.064634904</v>
      </c>
      <c r="J15" s="106">
        <f>SUM('Pt 1 Summary of Data'!K$5:K$7)+SUM('Pt 1 Summary of Data'!M$5:M$7)-SUM('Pt 1 Summary of Data'!N$5:N$7)-SUM(J$10:J$11)+I$55</f>
        <v>49126721.759835079</v>
      </c>
      <c r="K15" s="106">
        <f>SUM(H15:J15)</f>
        <v>136899468.24447</v>
      </c>
      <c r="L15" s="107">
        <f>SUM('Pt 1 Summary of Data'!O$5:O$7)-L$10</f>
        <v>0</v>
      </c>
      <c r="M15" s="117">
        <v>28887636.129999999</v>
      </c>
      <c r="N15" s="118">
        <v>25291423.863871988</v>
      </c>
      <c r="O15" s="106">
        <f>SUM('Pt 1 Summary of Data'!Q$5:Q$7)+SUM('Pt 1 Summary of Data'!S$5:S$7)-SUM('Pt 1 Summary of Data'!T$5:T$7)+N$55</f>
        <v>22004311.443058964</v>
      </c>
      <c r="P15" s="106">
        <f>SUM(M15:O15)</f>
        <v>76183371.436930954</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466882</v>
      </c>
      <c r="D16" s="110">
        <v>44884.807033771533</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2264663.9842462284</v>
      </c>
      <c r="F16" s="115">
        <f>SUM(C16:E16)</f>
        <v>2776430.79128</v>
      </c>
      <c r="G16" s="116">
        <f>SUM('Pt 1 Summary of Data'!I$25:I$28,'Pt 1 Summary of Data'!I$30,'Pt 1 Summary of Data'!I$34:I$35)+IF('Company Information'!$C$15="No",IF(MAX('Pt 1 Summary of Data'!I$31:I$32)=0,MIN('Pt 1 Summary of Data'!I$31:I$32),MAX('Pt 1 Summary of Data'!I$31:I$32)),SUM('Pt 1 Summary of Data'!I$31:I$32))</f>
        <v>0</v>
      </c>
      <c r="H16" s="109">
        <v>2467901.5200000005</v>
      </c>
      <c r="I16" s="110">
        <v>1640026.1525099562</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4485230.9206448756</v>
      </c>
      <c r="K16" s="115">
        <f>SUM(H16:J16)</f>
        <v>8593158.5931548327</v>
      </c>
      <c r="L16" s="116">
        <f>SUM('Pt 1 Summary of Data'!O$25:O$28,'Pt 1 Summary of Data'!O$30,'Pt 1 Summary of Data'!O$34:O$35)+IF('Company Information'!$C$15="No",IF(MAX('Pt 1 Summary of Data'!O$31:O$32)=0,MIN('Pt 1 Summary of Data'!O$31:O$32),MAX('Pt 1 Summary of Data'!O$31:O$32)),SUM('Pt 1 Summary of Data'!O$31:O$32))</f>
        <v>0</v>
      </c>
      <c r="M16" s="109">
        <v>1234284.48</v>
      </c>
      <c r="N16" s="110">
        <v>549679.18083404563</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1624134.6525477702</v>
      </c>
      <c r="P16" s="115">
        <f>SUM(M16:O16)</f>
        <v>3408098.3133818158</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7820553.0399999991</v>
      </c>
      <c r="D17" s="115">
        <f>D$15-D$16+IF(AND(OR('Company Information'!$C$12="District of Columbia",'Company Information'!$C$12="Massachusetts",'Company Information'!$C$12="Vermont"),SUM($C$6:$F$11,$C$15:$F$16,$C$37:$D$37)&lt;&gt;0),I$15-I$16,0)</f>
        <v>9980984.0268976372</v>
      </c>
      <c r="E17" s="115">
        <f>E$15-E$16+IF(AND(OR('Company Information'!$C$12="District of Columbia",'Company Information'!$C$12="Massachusetts",'Company Information'!$C$12="Vermont"),SUM($C$6:$F$11,$C$15:$F$16,$C$37:$D$37)&lt;&gt;0),J$15-J$16,0)</f>
        <v>32898237.503475565</v>
      </c>
      <c r="F17" s="115">
        <f>F$15-F$16+IF(AND(OR('Company Information'!$C$12="District of Columbia",'Company Information'!$C$12="Massachusetts",'Company Information'!$C$12="Vermont"),SUM($C$6:$F$11,$C$15:$F$16,$C$37:$D$37)&lt;&gt;0),K$15-K$16,0)</f>
        <v>50699774.5703732</v>
      </c>
      <c r="G17" s="314"/>
      <c r="H17" s="114">
        <f>H$15-H$16+IF(AND(OR('Company Information'!$C$12="District of Columbia",'Company Information'!$C$12="Massachusetts",'Company Information'!$C$12="Vermont"),SUM($H$6:$K$11,$H$15:$K$16,$H$37:$I$37)&lt;&gt;0),C$15-C$16,0)</f>
        <v>40564347.899999999</v>
      </c>
      <c r="I17" s="115">
        <f>I$15-I$16+IF(AND(OR('Company Information'!$C$12="District of Columbia",'Company Information'!$C$12="Massachusetts",'Company Information'!$C$12="Vermont"),SUM($H$6:$K$11,$H$15:$K$16,$H$37:$I$37)&lt;&gt;0),D$15-D$16,0)</f>
        <v>43100470.912124947</v>
      </c>
      <c r="J17" s="115">
        <f>J$15-J$16+IF(AND(OR('Company Information'!$C$12="District of Columbia",'Company Information'!$C$12="Massachusetts",'Company Information'!$C$12="Vermont"),SUM($H$6:$K$11,$H$15:$K$16,$H$37:$I$37)&lt;&gt;0),E$15-E$16,0)</f>
        <v>44641490.8391902</v>
      </c>
      <c r="K17" s="115">
        <f>K$15-K$16+IF(AND(OR('Company Information'!$C$12="District of Columbia",'Company Information'!$C$12="Massachusetts",'Company Information'!$C$12="Vermont"),SUM($H$6:$K$11,$H$15:$K$16,$H$37:$I$37)&lt;&gt;0),F$15-F$16,0)</f>
        <v>128306309.65131517</v>
      </c>
      <c r="L17" s="314"/>
      <c r="M17" s="114">
        <f>M$15-M$16</f>
        <v>27653351.649999999</v>
      </c>
      <c r="N17" s="115">
        <f>N$15-N$16</f>
        <v>24741744.683037944</v>
      </c>
      <c r="O17" s="115">
        <f>O$15-O$16</f>
        <v>20380176.790511195</v>
      </c>
      <c r="P17" s="115">
        <f>P$15-P$16</f>
        <v>72775273.123549134</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3944.1666666666665</v>
      </c>
      <c r="D37" s="122">
        <v>4499</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9832.6666666666661</v>
      </c>
      <c r="F37" s="256">
        <f>SUM(C$37:E$37)+IF(AND(OR('Company Information'!$C$12="District of Columbia",'Company Information'!$C$12="Massachusetts",'Company Information'!$C$12="Vermont"),SUM($C$6:$F$11,$C$15:$F$16,$C$37:$D$37)&lt;&gt;0,SUM(C$37:D$37)&lt;&gt;SUM(H$37:I$37)),SUM(H$37:I$37),0)</f>
        <v>18275.833333333332</v>
      </c>
      <c r="G37" s="312"/>
      <c r="H37" s="121">
        <v>10979.666666666666</v>
      </c>
      <c r="I37" s="122">
        <v>11175</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11941.666666666666</v>
      </c>
      <c r="K37" s="256">
        <f>SUM(H$37:J$37)+IF(AND(OR('Company Information'!$C$12="District of Columbia",'Company Information'!$C$12="Massachusetts",'Company Information'!$C$12="Vermont"),SUM($H$6:$K$11,$H$15:$K$16,$H$37:$I$37)&lt;&gt;0,SUM(H$37:I$37)&lt;&gt;SUM(C$37:D$37)),SUM(C$37:D$37),0)</f>
        <v>34096.333333333328</v>
      </c>
      <c r="L37" s="312"/>
      <c r="M37" s="121">
        <v>6287</v>
      </c>
      <c r="N37" s="122">
        <v>5264</v>
      </c>
      <c r="O37" s="256">
        <f>('Pt 1 Summary of Data'!Q$59+'Pt 1 Summary of Data'!S$59-'Pt 1 Summary of Data'!T$59)/12</f>
        <v>4119.25</v>
      </c>
      <c r="P37" s="256">
        <f>SUM(M$37:O$37)</f>
        <v>15670.25</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2.0482777777777777E-2</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1.4544586666666668E-2</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2.2219833333333334E-2</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v>5069.5541403125289</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1.4066462165728768</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 ca="1">IF(OR(F$37&lt;1000,F$37&gt;=75000),0,F$38*F$40)</f>
        <v>2.8812021866014108E-2</v>
      </c>
      <c r="G41" s="311"/>
      <c r="H41" s="292"/>
      <c r="I41" s="288"/>
      <c r="J41" s="288"/>
      <c r="K41" s="260">
        <f ca="1">IF(OR(K$37&lt;1000,K$37&gt;=75000),0,K$38*K$40)</f>
        <v>1.4544586666666668E-2</v>
      </c>
      <c r="L41" s="311"/>
      <c r="M41" s="292"/>
      <c r="N41" s="288"/>
      <c r="O41" s="288"/>
      <c r="P41" s="260">
        <f ca="1">IF(OR(P$37&lt;1000,P$37&gt;=75000),0,P$38*P$40)</f>
        <v>2.2219833333333334E-2</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0.67226373161967568</v>
      </c>
      <c r="D44" s="260">
        <f>IF(OR(D$37&lt;1000,D$17&lt;=0),"",D$12/D$17)</f>
        <v>0.8766103558848759</v>
      </c>
      <c r="E44" s="260">
        <f>IF(OR(E$37&lt;1000,E$17&lt;=0),"",E$12/E$17)</f>
        <v>0.7563905781387561</v>
      </c>
      <c r="F44" s="260">
        <f>IF(OR(F$37&lt;1000,F$17&lt;=0),"",F$12/F$17)</f>
        <v>0.76708082717247694</v>
      </c>
      <c r="G44" s="311"/>
      <c r="H44" s="262">
        <f>IF(OR(H$37&lt;1000,H$17&lt;=0),"",H$12/H$17)</f>
        <v>0.75461624333356303</v>
      </c>
      <c r="I44" s="260">
        <f>IF(OR(I$37&lt;1000,I$17&lt;=0),"",I$12/I$17)</f>
        <v>0.82161112293451655</v>
      </c>
      <c r="J44" s="260">
        <f>IF(OR(J$37&lt;1000,J$17&lt;=0),"",J$12/J$17)</f>
        <v>0.76324995884928148</v>
      </c>
      <c r="K44" s="260">
        <f>IF(OR(K$37&lt;1000,K$17&lt;=0),"",K$12/K$17)</f>
        <v>0.78012498721763102</v>
      </c>
      <c r="L44" s="311"/>
      <c r="M44" s="262">
        <f>IF(OR(M$37&lt;1000,M$17&lt;=0),"",M$12/M$17)</f>
        <v>0.8231920040848395</v>
      </c>
      <c r="N44" s="260">
        <f>IF(OR(N$37&lt;1000,N$17&lt;=0),"",N$12/N$17)</f>
        <v>0.866656429527495</v>
      </c>
      <c r="O44" s="260">
        <f>IF(OR(O$37&lt;1000,O$17&lt;=0),"",O$12/O$17)</f>
        <v>0.77361158833313726</v>
      </c>
      <c r="P44" s="260">
        <f>IF(OR(P$37&lt;1000,P$17&lt;=0),"",P$12/P$17)</f>
        <v>0.82408417632884001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f ca="1">IF(F$44="","",F$41)</f>
        <v>2.8812021866014108E-2</v>
      </c>
      <c r="G46" s="311"/>
      <c r="H46" s="292"/>
      <c r="I46" s="288"/>
      <c r="J46" s="288"/>
      <c r="K46" s="260">
        <f ca="1">IF(K$44="","",K$41)</f>
        <v>1.4544586666666668E-2</v>
      </c>
      <c r="L46" s="311"/>
      <c r="M46" s="292"/>
      <c r="N46" s="288"/>
      <c r="O46" s="288"/>
      <c r="P46" s="260">
        <f ca="1">IF(P$44="","",P$41)</f>
        <v>2.2219833333333334E-2</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 ca="1">IF(F$44="","",ROUND(F$44+MAX(0,F$46),3))</f>
        <v>0.79600000000000004</v>
      </c>
      <c r="G47" s="311"/>
      <c r="H47" s="292"/>
      <c r="I47" s="288"/>
      <c r="J47" s="288"/>
      <c r="K47" s="260">
        <f ca="1">IF(K$44="","",ROUND(K$44+MAX(0,K$46),3))</f>
        <v>0.79500000000000004</v>
      </c>
      <c r="L47" s="311"/>
      <c r="M47" s="292"/>
      <c r="N47" s="288"/>
      <c r="O47" s="288"/>
      <c r="P47" s="260">
        <f ca="1">IF(P$44="","",ROUND(P$44+MAX(0,P$46),3))</f>
        <v>0.84599999999999997</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2029</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 ca="1">F$47</f>
        <v>0.79600000000000004</v>
      </c>
      <c r="G50" s="311"/>
      <c r="H50" s="293"/>
      <c r="I50" s="289"/>
      <c r="J50" s="289"/>
      <c r="K50" s="260">
        <f ca="1">K$47</f>
        <v>0.79500000000000004</v>
      </c>
      <c r="L50" s="311"/>
      <c r="M50" s="293"/>
      <c r="N50" s="289"/>
      <c r="O50" s="289"/>
      <c r="P50" s="260">
        <f ca="1">P$47</f>
        <v>0.84599999999999997</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f>IF(F$37&lt;1000,"",MAX(0,E$15-E$16))</f>
        <v>32898237.503475565</v>
      </c>
      <c r="G51" s="311"/>
      <c r="H51" s="292"/>
      <c r="I51" s="288"/>
      <c r="J51" s="288"/>
      <c r="K51" s="115">
        <f>IF(K$37&lt;1000,"",MAX(0,J$15-J$16))</f>
        <v>44641490.8391902</v>
      </c>
      <c r="L51" s="311"/>
      <c r="M51" s="292"/>
      <c r="N51" s="288"/>
      <c r="O51" s="288"/>
      <c r="P51" s="115">
        <f>IF(P$37&lt;1000,"",MAX(0,O$15-O$16))</f>
        <v>20380176.790511195</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 ca="1">IF(OR(F$37&lt;1000,F$17&lt;=0),0,MAX(0,F$49-F$50)*F$51)</f>
        <v>131592.95001390239</v>
      </c>
      <c r="G52" s="311"/>
      <c r="H52" s="292"/>
      <c r="I52" s="288"/>
      <c r="J52" s="288"/>
      <c r="K52" s="115">
        <f ca="1">IF(OR(K$37&lt;1000,K$17&lt;=0),0,MAX(0,K$49-K$50)*K$51)</f>
        <v>223207.4541959512</v>
      </c>
      <c r="L52" s="311"/>
      <c r="M52" s="292"/>
      <c r="N52" s="288"/>
      <c r="O52" s="288"/>
      <c r="P52" s="115">
        <f ca="1">IF(OR(P$37&lt;1000,P$17&lt;=0),0,MAX(0,P$49-P$50)*P$51)</f>
        <v>81520.707162044855</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117114.83606859099</v>
      </c>
      <c r="E55" s="288"/>
      <c r="F55" s="288"/>
      <c r="G55" s="311"/>
      <c r="H55" s="292"/>
      <c r="I55" s="110">
        <v>296001.60694299993</v>
      </c>
      <c r="J55" s="288"/>
      <c r="K55" s="288"/>
      <c r="L55" s="311"/>
      <c r="M55" s="292"/>
      <c r="N55" s="110">
        <v>138619.39367946453</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522.19296622845343</v>
      </c>
      <c r="E56" s="288"/>
      <c r="F56" s="288"/>
      <c r="G56" s="311"/>
      <c r="H56" s="292"/>
      <c r="I56" s="110">
        <v>10804.121935842582</v>
      </c>
      <c r="J56" s="288"/>
      <c r="K56" s="288"/>
      <c r="L56" s="311"/>
      <c r="M56" s="292"/>
      <c r="N56" s="110">
        <v>3002.0359635008344</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6394</v>
      </c>
      <c r="D4" s="149">
        <f>'Pt 1 Summary of Data'!$K$56+'Pt 1 Summary of Data'!$M$56-'Pt 1 Summary of Data'!$N$56</f>
        <v>7291</v>
      </c>
      <c r="E4" s="149">
        <f>'Pt 1 Summary of Data'!$Q$56+'Pt 1 Summary of Data'!$S$56-'Pt 1 Summary of Data'!$T$56</f>
        <v>1903</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847</v>
      </c>
      <c r="E6" s="123">
        <v>27</v>
      </c>
      <c r="F6" s="363"/>
      <c r="G6" s="123"/>
      <c r="H6" s="123"/>
      <c r="I6" s="363"/>
      <c r="J6" s="363"/>
      <c r="K6" s="372"/>
    </row>
    <row r="7" spans="2:11" x14ac:dyDescent="0.2">
      <c r="B7" s="155" t="s">
        <v>102</v>
      </c>
      <c r="C7" s="124">
        <v>6463</v>
      </c>
      <c r="D7" s="126">
        <v>116</v>
      </c>
      <c r="E7" s="126"/>
      <c r="F7" s="126"/>
      <c r="G7" s="126"/>
      <c r="H7" s="126"/>
      <c r="I7" s="374"/>
      <c r="J7" s="374"/>
      <c r="K7" s="209"/>
    </row>
    <row r="8" spans="2:11" x14ac:dyDescent="0.2">
      <c r="B8" s="155" t="s">
        <v>103</v>
      </c>
      <c r="C8" s="361"/>
      <c r="D8" s="126">
        <v>2</v>
      </c>
      <c r="E8" s="126"/>
      <c r="F8" s="364"/>
      <c r="G8" s="126"/>
      <c r="H8" s="126"/>
      <c r="I8" s="374"/>
      <c r="J8" s="374"/>
      <c r="K8" s="373"/>
    </row>
    <row r="9" spans="2:11" ht="13.15" customHeight="1" x14ac:dyDescent="0.2">
      <c r="B9" s="155" t="s">
        <v>104</v>
      </c>
      <c r="C9" s="124">
        <v>2278</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 ca="1">'Pt 3 MLR and Rebate Calculation'!$F$52</f>
        <v>131592.95001390239</v>
      </c>
      <c r="D11" s="119">
        <f ca="1">'Pt 3 MLR and Rebate Calculation'!$K$52</f>
        <v>223207.4541959512</v>
      </c>
      <c r="E11" s="119">
        <f ca="1">'Pt 3 MLR and Rebate Calculation'!$P$52</f>
        <v>81520.707162044855</v>
      </c>
      <c r="F11" s="119">
        <f>'Pt 3 MLR and Rebate Calculation'!$T$52</f>
        <v>0</v>
      </c>
      <c r="G11" s="119">
        <f>'Pt 3 MLR and Rebate Calculation'!$X$52</f>
        <v>0</v>
      </c>
      <c r="H11" s="119">
        <f>'Pt 3 MLR and Rebate Calculation'!$AB$52</f>
        <v>0</v>
      </c>
      <c r="I11" s="312"/>
      <c r="J11" s="312"/>
      <c r="K11" s="365"/>
    </row>
    <row r="12" spans="2:11" x14ac:dyDescent="0.2">
      <c r="B12" s="207" t="s">
        <v>93</v>
      </c>
      <c r="C12" s="109">
        <v>-5850.21</v>
      </c>
      <c r="D12" s="113">
        <v>-8.8000000000000007</v>
      </c>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131592.95000000001</v>
      </c>
      <c r="D14" s="113">
        <v>223207.45</v>
      </c>
      <c r="E14" s="113">
        <v>81520.710000000006</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905109.88915462466</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23519.52</v>
      </c>
      <c r="E22" s="212"/>
      <c r="F22" s="212"/>
      <c r="G22" s="212"/>
      <c r="H22" s="212"/>
      <c r="I22" s="359"/>
      <c r="J22" s="359"/>
      <c r="K22" s="368"/>
    </row>
    <row r="23" spans="2:12" s="5" customFormat="1" ht="100.15" customHeight="1" x14ac:dyDescent="0.2">
      <c r="B23" s="102" t="s">
        <v>212</v>
      </c>
      <c r="C23" s="381" t="s">
        <v>506</v>
      </c>
      <c r="D23" s="382"/>
      <c r="E23" s="382"/>
      <c r="F23" s="382"/>
      <c r="G23" s="382"/>
      <c r="H23" s="382"/>
      <c r="I23" s="382"/>
      <c r="J23" s="382"/>
      <c r="K23" s="383"/>
    </row>
    <row r="24" spans="2:12" s="5" customFormat="1" ht="100.15" customHeight="1" x14ac:dyDescent="0.2">
      <c r="B24" s="101" t="s">
        <v>213</v>
      </c>
      <c r="C24" s="384" t="s">
        <v>507</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2015-07-30T13:52:22Z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