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X38" i="10" s="1"/>
  <c r="T49" i="10"/>
  <c r="S49" i="10"/>
  <c r="R49" i="10"/>
  <c r="Q49" i="10"/>
  <c r="H11" i="16"/>
  <c r="F11" i="16"/>
  <c r="H4" i="16"/>
  <c r="G4" i="16"/>
  <c r="F4" i="16"/>
  <c r="E4" i="16"/>
  <c r="D4" i="16"/>
  <c r="C4" i="16"/>
  <c r="AB52" i="10"/>
  <c r="X52" i="10"/>
  <c r="G11" i="16" s="1"/>
  <c r="T52" i="10"/>
  <c r="AB51" i="10"/>
  <c r="X51" i="10"/>
  <c r="T51" i="10"/>
  <c r="P51" i="10"/>
  <c r="K51" i="10"/>
  <c r="F51" i="10"/>
  <c r="AB50" i="10"/>
  <c r="AB47" i="10"/>
  <c r="AB46" i="10"/>
  <c r="AB45" i="10"/>
  <c r="AA45" i="10"/>
  <c r="AB38" i="10" s="1"/>
  <c r="Z45" i="10"/>
  <c r="Y45" i="10"/>
  <c r="X45" i="10"/>
  <c r="X46" i="10" s="1"/>
  <c r="W45" i="10"/>
  <c r="V45" i="10"/>
  <c r="U45" i="10"/>
  <c r="T45" i="10"/>
  <c r="T47" i="10" s="1"/>
  <c r="T50" i="10" s="1"/>
  <c r="S45" i="10"/>
  <c r="R45" i="10"/>
  <c r="Q45" i="10"/>
  <c r="P44" i="10"/>
  <c r="O44" i="10"/>
  <c r="N44" i="10"/>
  <c r="M44" i="10"/>
  <c r="K44" i="10"/>
  <c r="J44" i="10"/>
  <c r="K38" i="10" s="1"/>
  <c r="I44" i="10"/>
  <c r="H44" i="10"/>
  <c r="F44" i="10"/>
  <c r="E44" i="10"/>
  <c r="D44" i="10"/>
  <c r="F38" i="10" s="1"/>
  <c r="C44" i="10"/>
  <c r="AB41" i="10"/>
  <c r="X41" i="10"/>
  <c r="T41" i="10"/>
  <c r="AB40" i="10"/>
  <c r="X40" i="10"/>
  <c r="T40" i="10"/>
  <c r="P40" i="10"/>
  <c r="K40" i="10"/>
  <c r="F40" i="10"/>
  <c r="T38" i="10"/>
  <c r="P38" i="10"/>
  <c r="AB37" i="10"/>
  <c r="AA37" i="10"/>
  <c r="X37" i="10"/>
  <c r="W37" i="10"/>
  <c r="T37" i="10"/>
  <c r="S37" i="10"/>
  <c r="P37" i="10"/>
  <c r="O37" i="10"/>
  <c r="K37" i="10"/>
  <c r="J37" i="10"/>
  <c r="F37" i="10"/>
  <c r="E37" i="10"/>
  <c r="L29" i="10"/>
  <c r="L28" i="10"/>
  <c r="G28" i="10"/>
  <c r="L25" i="10"/>
  <c r="G25" i="10"/>
  <c r="L21" i="10"/>
  <c r="G21" i="10"/>
  <c r="L20" i="10"/>
  <c r="L19" i="10"/>
  <c r="L24" i="10" s="1"/>
  <c r="G19" i="10"/>
  <c r="G24" i="10" s="1"/>
  <c r="G23" i="10" s="1"/>
  <c r="AB17" i="10"/>
  <c r="AA17" i="10"/>
  <c r="Z17" i="10"/>
  <c r="Y17" i="10"/>
  <c r="X17" i="10"/>
  <c r="W17" i="10"/>
  <c r="V17" i="10"/>
  <c r="U17" i="10"/>
  <c r="T17" i="10"/>
  <c r="S17" i="10"/>
  <c r="R17" i="10"/>
  <c r="Q17" i="10"/>
  <c r="P17" i="10"/>
  <c r="O17" i="10"/>
  <c r="N17" i="10"/>
  <c r="P12" i="10" s="1"/>
  <c r="M17" i="10"/>
  <c r="K17" i="10"/>
  <c r="J17" i="10"/>
  <c r="I17" i="10"/>
  <c r="H17" i="10"/>
  <c r="F17" i="10"/>
  <c r="E17" i="10"/>
  <c r="D17" i="10"/>
  <c r="C17" i="10"/>
  <c r="AB16" i="10"/>
  <c r="AA16" i="10"/>
  <c r="X16" i="10"/>
  <c r="W13" i="10" s="1"/>
  <c r="W16" i="10"/>
  <c r="V13" i="10" s="1"/>
  <c r="T16" i="10"/>
  <c r="S16" i="10"/>
  <c r="P16" i="10"/>
  <c r="O16" i="10"/>
  <c r="L16" i="10"/>
  <c r="K16" i="10"/>
  <c r="J16" i="10"/>
  <c r="H12" i="10" s="1"/>
  <c r="G16" i="10"/>
  <c r="F16" i="10"/>
  <c r="D12" i="10" s="1"/>
  <c r="E16" i="10"/>
  <c r="AB15" i="10"/>
  <c r="AA15" i="10"/>
  <c r="X15" i="10"/>
  <c r="W15" i="10"/>
  <c r="T15" i="10"/>
  <c r="S15" i="10"/>
  <c r="P15" i="10"/>
  <c r="O15" i="10"/>
  <c r="L15" i="10"/>
  <c r="K15" i="10"/>
  <c r="J15" i="10"/>
  <c r="G15" i="10"/>
  <c r="F15" i="10"/>
  <c r="E15" i="10"/>
  <c r="AB13" i="10"/>
  <c r="AA13" i="10"/>
  <c r="Z13" i="10"/>
  <c r="Y13" i="10"/>
  <c r="S13" i="10"/>
  <c r="R13" i="10"/>
  <c r="O12" i="10"/>
  <c r="N12" i="10"/>
  <c r="M12" i="10"/>
  <c r="E12" i="10"/>
  <c r="K11" i="10"/>
  <c r="J11" i="10"/>
  <c r="F11" i="10"/>
  <c r="E11" i="10"/>
  <c r="L10" i="10"/>
  <c r="K10" i="10"/>
  <c r="J10" i="10"/>
  <c r="G10" i="10"/>
  <c r="F10" i="10"/>
  <c r="E10" i="10"/>
  <c r="E7" i="10" s="1"/>
  <c r="F7" i="10" s="1"/>
  <c r="G9" i="10"/>
  <c r="F9" i="10"/>
  <c r="E9" i="10"/>
  <c r="F8" i="10"/>
  <c r="AB7" i="10"/>
  <c r="AA7" i="10"/>
  <c r="X7" i="10"/>
  <c r="W7" i="10"/>
  <c r="T7" i="10"/>
  <c r="S7" i="10"/>
  <c r="P7" i="10"/>
  <c r="O7" i="10"/>
  <c r="L7" i="10"/>
  <c r="J7" i="10"/>
  <c r="K7" i="10" s="1"/>
  <c r="G7" i="10"/>
  <c r="G20" i="10" s="1"/>
  <c r="AB6" i="10"/>
  <c r="AA6" i="10"/>
  <c r="X6" i="10"/>
  <c r="W6" i="10"/>
  <c r="T6" i="10"/>
  <c r="S6" i="10"/>
  <c r="P6" i="10"/>
  <c r="O6" i="10"/>
  <c r="L6" i="10"/>
  <c r="K6" i="10"/>
  <c r="J6" i="10"/>
  <c r="G6" i="10"/>
  <c r="F6" i="10"/>
  <c r="E6" i="10"/>
  <c r="AU55" i="18"/>
  <c r="AU22" i="4" s="1"/>
  <c r="AT55" i="18"/>
  <c r="AT22" i="4" s="1"/>
  <c r="AS55" i="18"/>
  <c r="AC55" i="18"/>
  <c r="AC22" i="4" s="1"/>
  <c r="AB55" i="18"/>
  <c r="AA55" i="18"/>
  <c r="Z55" i="18"/>
  <c r="Y55" i="18"/>
  <c r="X55" i="18"/>
  <c r="W55" i="18"/>
  <c r="V55" i="18"/>
  <c r="U55" i="18"/>
  <c r="T55" i="18"/>
  <c r="S55" i="18"/>
  <c r="S22" i="4" s="1"/>
  <c r="R55" i="18"/>
  <c r="Q55" i="18"/>
  <c r="P55" i="18"/>
  <c r="P22" i="4" s="1"/>
  <c r="O55" i="18"/>
  <c r="N55" i="18"/>
  <c r="M55" i="18"/>
  <c r="L55" i="18"/>
  <c r="K55" i="18"/>
  <c r="J55" i="18"/>
  <c r="I55" i="18"/>
  <c r="H55" i="18"/>
  <c r="G55" i="18"/>
  <c r="F55" i="18"/>
  <c r="E55" i="18"/>
  <c r="D55" i="18"/>
  <c r="AU54" i="18"/>
  <c r="AT54" i="18"/>
  <c r="AS54" i="18"/>
  <c r="AC54" i="18"/>
  <c r="AB54" i="18"/>
  <c r="AA54" i="18"/>
  <c r="Z54" i="18"/>
  <c r="Y54" i="18"/>
  <c r="X54" i="18"/>
  <c r="W54" i="18"/>
  <c r="V54" i="18"/>
  <c r="U54" i="18"/>
  <c r="T54" i="18"/>
  <c r="T12" i="4" s="1"/>
  <c r="S54" i="18"/>
  <c r="R54" i="18"/>
  <c r="Q54" i="18"/>
  <c r="Q12" i="4" s="1"/>
  <c r="P54" i="18"/>
  <c r="P12" i="4" s="1"/>
  <c r="O54" i="18"/>
  <c r="N54" i="18"/>
  <c r="N12" i="4" s="1"/>
  <c r="M54" i="18"/>
  <c r="L54" i="18"/>
  <c r="K54" i="18"/>
  <c r="J54" i="18"/>
  <c r="J12" i="4" s="1"/>
  <c r="I54" i="18"/>
  <c r="H54" i="18"/>
  <c r="H12" i="4" s="1"/>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B22" i="4"/>
  <c r="AA22" i="4"/>
  <c r="Z22" i="4"/>
  <c r="Y22" i="4"/>
  <c r="X22" i="4"/>
  <c r="W22" i="4"/>
  <c r="V22" i="4"/>
  <c r="U22" i="4"/>
  <c r="T22" i="4"/>
  <c r="R22" i="4"/>
  <c r="Q22" i="4"/>
  <c r="O22" i="4"/>
  <c r="N22" i="4"/>
  <c r="M22" i="4"/>
  <c r="L22" i="4"/>
  <c r="K22" i="4"/>
  <c r="J22" i="4"/>
  <c r="I22" i="4"/>
  <c r="H22" i="4"/>
  <c r="G22" i="4"/>
  <c r="F22" i="4"/>
  <c r="E22" i="4"/>
  <c r="D22" i="4"/>
  <c r="AU12" i="4"/>
  <c r="AT12" i="4"/>
  <c r="AS12" i="4"/>
  <c r="AC12" i="4"/>
  <c r="AB12" i="4"/>
  <c r="AA12" i="4"/>
  <c r="Z12" i="4"/>
  <c r="Y12" i="4"/>
  <c r="X12" i="4"/>
  <c r="W12" i="4"/>
  <c r="V12" i="4"/>
  <c r="U12" i="4"/>
  <c r="S12" i="4"/>
  <c r="R12" i="4"/>
  <c r="O12" i="4"/>
  <c r="M12" i="4"/>
  <c r="L12" i="4"/>
  <c r="K12" i="4"/>
  <c r="I12" i="4"/>
  <c r="G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7" i="10" l="1"/>
  <c r="G31" i="10" s="1"/>
  <c r="G32" i="10" s="1"/>
  <c r="G33" i="10" s="1"/>
  <c r="G26" i="10"/>
  <c r="G30" i="10" s="1"/>
  <c r="L23" i="10"/>
  <c r="L27" i="10" s="1"/>
  <c r="L31" i="10" s="1"/>
  <c r="L32" i="10" s="1"/>
  <c r="L33" i="10" s="1"/>
  <c r="G29" i="10"/>
  <c r="X47" i="10"/>
  <c r="X50" i="10" s="1"/>
  <c r="T13" i="10"/>
  <c r="T46" i="10"/>
  <c r="P41" i="10"/>
  <c r="P46" i="10" s="1"/>
  <c r="P47" i="10" s="1"/>
  <c r="P50" i="10" s="1"/>
  <c r="P52" i="10" s="1"/>
  <c r="E11" i="16" s="1"/>
  <c r="F41" i="10"/>
  <c r="F46" i="10" s="1"/>
  <c r="F47" i="10" s="1"/>
  <c r="F50" i="10" s="1"/>
  <c r="F52" i="10" s="1"/>
  <c r="C11" i="16" s="1"/>
  <c r="K41" i="10"/>
  <c r="K46" i="10" s="1"/>
  <c r="K47" i="10" s="1"/>
  <c r="K50" i="10" s="1"/>
  <c r="K52" i="10" s="1"/>
  <c r="D11" i="16" s="1"/>
  <c r="U13" i="10"/>
  <c r="X13" i="10"/>
  <c r="Q13" i="10"/>
  <c r="I12" i="10"/>
  <c r="K12" i="10" s="1"/>
  <c r="J12" i="10"/>
  <c r="C12" i="10"/>
  <c r="F12" i="10"/>
  <c r="L26" i="10" l="1"/>
  <c r="L30"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<sst xmlns="http://schemas.openxmlformats.org/spreadsheetml/2006/main" count="569" uniqueCount="508">
  <si>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</si>
  <si>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</si>
  <si>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</si>
  <si>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</si>
  <si>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</si>
  <si>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</si>
  <si>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</si>
  <si>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</si>
  <si>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</si>
  <si>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</si>
  <si>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</si>
  <si>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</si>
  <si>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</si>
  <si>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</si>
  <si>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</si>
  <si>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</si>
  <si>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</si>
  <si>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</si>
  <si>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</si>
  <si>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</si>
  <si>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</si>
  <si>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</si>
  <si>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</si>
  <si>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</si>
  <si>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</si>
  <si>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</si>
  <si>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</si>
  <si>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</si>
  <si>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</si>
  <si>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</si>
  <si>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</si>
  <si>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</si>
  <si>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</si>
  <si>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</si>
  <si>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</si>
  <si>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</si>
  <si>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</si>
  <si>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</si>
  <si>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</si>
  <si>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</si>
  <si>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</si>
  <si>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</si>
  <si>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</si>
  <si>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</si>
  <si>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</si>
  <si>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</si>
  <si>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</si>
  <si>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</si>
  <si>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</si>
  <si>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</si>
  <si>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</si>
  <si>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</si>
  <si>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</si>
  <si>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</si>
  <si>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</si>
  <si>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</si>
  <si>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</si>
  <si>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</si>
  <si>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</si>
  <si>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</si>
  <si>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</si>
  <si>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</si>
  <si>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</si>
  <si>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</si>
  <si>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</si>
  <si>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</si>
  <si>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</si>
  <si>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</si>
  <si>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</si>
  <si>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</si>
  <si>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</si>
  <si>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</si>
  <si>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</si>
  <si>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</si>
  <si>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</si>
  <si>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</si>
  <si>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</si>
  <si>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</si>
  <si>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</si>
  <si>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</si>
  <si>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</si>
  <si>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</si>
  <si>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</si>
  <si>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</si>
  <si>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</si>
  <si>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</si>
  <si>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</si>
  <si>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</si>
  <si>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</si>
  <si>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</si>
  <si>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</si>
  <si>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</si>
  <si>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</si>
  <si>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</si>
  <si>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</si>
  <si>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</si>
  <si>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</si>
  <si>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</si>
  <si>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</si>
  <si>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</si>
  <si>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</si>
  <si>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</si>
  <si>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</si>
  <si>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</si>
  <si>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</si>
  <si>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</si>
  <si>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</si>
  <si>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</si>
  <si>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</si>
  <si>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</si>
  <si>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</si>
  <si>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</si>
  <si>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</si>
  <si>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</si>
  <si>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</si>
  <si>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</si>
  <si>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</si>
  <si>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</si>
  <si>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</si>
  <si>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</si>
  <si>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</si>
  <si>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</si>
  <si>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</si>
  <si>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</si>
  <si>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</si>
  <si>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</si>
  <si>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</si>
  <si>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</si>
  <si>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</si>
  <si>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</si>
  <si>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</si>
  <si>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</si>
  <si>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</si>
  <si>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</si>
  <si>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</si>
  <si>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</si>
  <si>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</si>
  <si>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</si>
  <si>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</si>
  <si>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</si>
  <si>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</si>
  <si>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</si>
  <si>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</si>
  <si>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</si>
  <si>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</si>
  <si>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</si>
  <si>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</si>
  <si>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</si>
  <si>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</si>
  <si>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</si>
  <si>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</si>
  <si>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</si>
  <si>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</si>
  <si>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</si>
  <si>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</si>
  <si>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</si>
  <si>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</si>
  <si>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</si>
  <si>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</si>
  <si>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</si>
  <si>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</si>
  <si>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</si>
  <si>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</si>
  <si>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</si>
  <si>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</si>
  <si>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</si>
  <si>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</si>
  <si>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</si>
  <si>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</si>
  <si>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</si>
  <si>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</si>
  <si>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</si>
  <si>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</si>
  <si>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</si>
  <si>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</si>
  <si>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</si>
  <si>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</si>
  <si>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</si>
  <si>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</si>
  <si>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</si>
  <si>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</si>
  <si>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</si>
  <si>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</si>
  <si>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</si>
  <si>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</si>
  <si>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</si>
  <si>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</si>
  <si>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</si>
  <si>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</si>
  <si>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</si>
  <si>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</si>
  <si>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</si>
  <si>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</si>
  <si>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</si>
  <si>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</si>
  <si>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</si>
  <si>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</si>
  <si>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</si>
  <si>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</si>
  <si>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</si>
  <si>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</si>
  <si>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</si>
  <si>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</si>
  <si>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</si>
  <si>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</si>
  <si>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</si>
  <si>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</si>
  <si>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</si>
  <si>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</si>
  <si>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</si>
  <si>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</si>
  <si>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</si>
  <si>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</si>
  <si>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</si>
  <si>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</si>
  <si>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</si>
  <si>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</si>
  <si>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</si>
  <si>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</si>
  <si>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</si>
  <si>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</si>
  <si>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</si>
  <si>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</si>
  <si>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</si>
  <si>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</si>
  <si>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</si>
  <si>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</si>
  <si>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</si>
  <si>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</si>
  <si>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</si>
  <si>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</si>
  <si>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</si>
  <si>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</si>
  <si>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</si>
  <si>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</si>
  <si>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</si>
  <si>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</si>
  <si>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</si>
  <si>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</si>
  <si>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</si>
  <si>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</si>
  <si>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</si>
  <si>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</si>
  <si>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</si>
  <si>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</si>
  <si>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</si>
  <si>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</si>
  <si>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</si>
  <si>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</si>
  <si>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</si>
  <si>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</si>
  <si>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</si>
  <si>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</si>
  <si>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</si>
  <si>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</si>
  <si>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</si>
  <si>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</si>
  <si>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</si>
  <si>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</si>
  <si>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</si>
  <si>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</si>
  <si>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</si>
  <si>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</si>
  <si>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</si>
  <si>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</si>
  <si>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</si>
  <si>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</si>
  <si>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</si>
  <si>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</si>
  <si>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</si>
  <si>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</si>
  <si>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</si>
  <si>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</si>
  <si>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</si>
  <si>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</si>
  <si>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</si>
  <si>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</si>
  <si>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</si>
  <si>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</si>
  <si>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</si>
  <si>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</si>
  <si>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</si>
  <si>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</si>
  <si>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</si>
  <si>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</si>
  <si>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</si>
  <si>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</si>
  <si>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</si>
  <si>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</si>
  <si>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</si>
  <si>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</si>
  <si>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</si>
  <si>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</si>
  <si>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</si>
  <si>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</si>
  <si>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</si>
  <si>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</si>
  <si>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</si>
  <si>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</si>
  <si>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</si>
  <si>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</si>
  <si>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</si>
  <si>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</si>
  <si>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</si>
  <si>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</si>
  <si>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</si>
  <si>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</si>
  <si>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</si>
  <si>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</si>
  <si>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</si>
  <si>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</si>
  <si>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</si>
  <si>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</si>
  <si>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</si>
  <si>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</si>
  <si>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</si>
  <si>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</si>
  <si>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</si>
  <si>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</si>
  <si>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</si>
  <si>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</si>
  <si>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</si>
  <si>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</si>
  <si>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</si>
  <si>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</si>
  <si>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</si>
  <si>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</si>
  <si>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</si>
  <si>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</si>
  <si>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</si>
  <si>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</si>
  <si>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</si>
  <si>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</si>
  <si>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</si>
  <si>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</si>
  <si>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</si>
  <si>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</si>
  <si>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</si>
  <si>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</si>
  <si>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</si>
  <si>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</si>
  <si>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</si>
  <si>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</si>
  <si>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</si>
  <si>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</si>
  <si>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</si>
  <si>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</si>
  <si>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</si>
  <si>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</si>
  <si>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</si>
  <si>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</si>
  <si>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</si>
  <si>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</si>
  <si>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</si>
  <si>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</si>
  <si>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</si>
  <si>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</si>
  <si>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</si>
  <si>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</si>
  <si>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</si>
  <si>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</si>
  <si>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</si>
  <si>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</si>
  <si>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</si>
  <si>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</si>
  <si>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</si>
  <si>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</si>
  <si>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</si>
  <si>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</si>
  <si>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</si>
  <si>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</si>
  <si>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</si>
  <si>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</si>
  <si>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</si>
  <si>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</si>
  <si>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</si>
  <si>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</si>
  <si>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</si>
  <si>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</si>
  <si>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</si>
  <si>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</si>
  <si>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</si>
  <si>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</si>
  <si>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</si>
  <si>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</si>
  <si>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</si>
  <si>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</si>
  <si>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</si>
  <si>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</si>
  <si>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</si>
  <si>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</si>
  <si>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</si>
  <si>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</si>
  <si>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</si>
  <si>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</si>
  <si>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</si>
  <si>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</si>
  <si>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</si>
  <si>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</si>
  <si>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</si>
  <si>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</si>
  <si>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</si>
  <si>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</si>
  <si>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</si>
  <si>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</si>
  <si>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</si>
  <si>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</si>
  <si>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</si>
  <si>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</si>
  <si>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</si>
  <si>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</si>
  <si>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</si>
  <si>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</si>
  <si>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</si>
  <si>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</si>
  <si>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</si>
  <si>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</si>
  <si>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</si>
  <si>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</si>
  <si>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</si>
  <si>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</si>
  <si>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</si>
  <si>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</si>
  <si>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</si>
  <si>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</si>
  <si>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</si>
  <si>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</si>
  <si>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</si>
  <si>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</si>
  <si>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</si>
  <si>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</si>
  <si>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</si>
  <si>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</si>
  <si>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</si>
  <si>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</si>
  <si>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</si>
  <si>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</si>
  <si>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</si>
  <si>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</si>
  <si>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</si>
  <si>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</si>
  <si>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</si>
  <si>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</si>
  <si>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</si>
  <si>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</si>
  <si>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</si>
  <si>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</si>
  <si>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</si>
  <si>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</si>
  <si>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</si>
  <si>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</si>
  <si>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</si>
  <si>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</si>
  <si>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</si>
  <si>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</si>
  <si>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</si>
  <si>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</si>
  <si>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</si>
  <si>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</si>
  <si>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</si>
  <si>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</si>
  <si>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</si>
  <si>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</si>
  <si>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</si>
  <si>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</si>
  <si>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</si>
  <si>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</si>
  <si>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</si>
  <si>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</si>
  <si>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</si>
  <si>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</si>
  <si>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</si>
  <si>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</si>
  <si>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</si>
  <si>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</si>
  <si>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</si>
  <si>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</si>
  <si>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</si>
  <si>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</si>
  <si>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</si>
  <si>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</si>
  <si>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</si>
  <si>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</si>
  <si>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</si>
  <si>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</si>
  <si>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</si>
  <si>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</si>
  <si>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</si>
  <si>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</si>
  <si>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</si>
  <si>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</si>
  <si>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</si>
  <si>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</si>
  <si>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</si>
  <si>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</si>
  <si>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</si>
  <si>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</si>
  <si>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</si>
  <si>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</si>
  <si>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</si>
  <si>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</si>
  <si>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</si>
  <si>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</si>
  <si>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19968</t>
  </si>
  <si>
    <t>219</t>
  </si>
  <si>
    <t>Humana Health Plan,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</si>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</sst>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156</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11449255</v>
      </c>
      <c r="E5" s="112">
        <f>SUM('Pt 2 Premium and Claims'!E$5,'Pt 2 Premium and Claims'!E$6,-'Pt 2 Premium and Claims'!E$7,-'Pt 2 Premium and Claims'!E$13,'Pt 2 Premium and Claims'!E$14:'Pt 2 Premium and Claims'!E$17)</f>
        <v>11788433.949999999</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59913617</v>
      </c>
      <c r="K5" s="112">
        <f>SUM('Pt 2 Premium and Claims'!K$5,'Pt 2 Premium and Claims'!K$6,-'Pt 2 Premium and Claims'!K$7,-'Pt 2 Premium and Claims'!K$13,'Pt 2 Premium and Claims'!K$14,'Pt 2 Premium and Claims'!K$16:'Pt 2 Premium and Claims'!K$17)</f>
        <v>57935942.804457814</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26602955</v>
      </c>
      <c r="Q5" s="112">
        <f>SUM('Pt 2 Premium and Claims'!Q$5,'Pt 2 Premium and Claims'!Q$6,-'Pt 2 Premium and Claims'!Q$7,-'Pt 2 Premium and Claims'!Q$13,'Pt 2 Premium and Claims'!Q$14)</f>
        <v>25980734.369130798</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181493386</v>
      </c>
      <c r="AT5" s="113">
        <f>SUM('Pt 2 Premium and Claims'!AT$5,'Pt 2 Premium and Claims'!AT$6,-'Pt 2 Premium and Claims'!AT$7,-'Pt 2 Premium and Claims'!AT$13,'Pt 2 Premium and Claims'!AT$14)</f>
        <v>5309378</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-21996</v>
      </c>
      <c r="E7" s="116">
        <v>-21996</v>
      </c>
      <c r="F7" s="116"/>
      <c r="G7" s="116"/>
      <c r="H7" s="116"/>
      <c r="I7" s="115"/>
      <c r="J7" s="115">
        <v>-104880</v>
      </c>
      <c r="K7" s="116">
        <v>-104658.73954819942</v>
      </c>
      <c r="L7" s="116"/>
      <c r="M7" s="116"/>
      <c r="N7" s="116"/>
      <c r="O7" s="115"/>
      <c r="P7" s="115">
        <v>-54878</v>
      </c>
      <c r="Q7" s="116">
        <v>-51274.996635119322</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-2836</v>
      </c>
      <c r="AU7" s="119"/>
      <c r="AV7" s="317"/>
      <c r="AW7" s="324"/>
    </row>
    <row r="8" spans="1:49" ht="25.5" x14ac:dyDescent="0.2">
      <c r="B8" s="161" t="s">
        <v>225</v>
      </c>
      <c r="C8" s="68" t="s">
        <v>59</v>
      </c>
      <c r="D8" s="115">
        <v>-60976</v>
      </c>
      <c r="E8" s="295"/>
      <c r="F8" s="296"/>
      <c r="G8" s="296"/>
      <c r="H8" s="296"/>
      <c r="I8" s="299"/>
      <c r="J8" s="115">
        <v>-121209</v>
      </c>
      <c r="K8" s="295"/>
      <c r="L8" s="296"/>
      <c r="M8" s="296"/>
      <c r="N8" s="296"/>
      <c r="O8" s="299"/>
      <c r="P8" s="115">
        <v>-35298</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57486</v>
      </c>
      <c r="AT8" s="119">
        <v>-276988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8314165</v>
      </c>
      <c r="E12" s="112">
        <f>'Pt 2 Premium and Claims'!E$54</f>
        <v>9476517.521999998</v>
      </c>
      <c r="F12" s="112">
        <f>'Pt 2 Premium and Claims'!F$54</f>
        <v>0</v>
      </c>
      <c r="G12" s="112">
        <f>'Pt 2 Premium and Claims'!G$54</f>
        <v>0</v>
      </c>
      <c r="H12" s="112">
        <f>'Pt 2 Premium and Claims'!H$54</f>
        <v>0</v>
      </c>
      <c r="I12" s="111">
        <f>'Pt 2 Premium and Claims'!I$54</f>
        <v>0</v>
      </c>
      <c r="J12" s="111">
        <f>'Pt 2 Premium and Claims'!J$54</f>
        <v>44641201</v>
      </c>
      <c r="K12" s="112">
        <f>'Pt 2 Premium and Claims'!K$54</f>
        <v>42788486.696621977</v>
      </c>
      <c r="L12" s="112">
        <f>'Pt 2 Premium and Claims'!L$54</f>
        <v>0</v>
      </c>
      <c r="M12" s="112">
        <f>'Pt 2 Premium and Claims'!M$54</f>
        <v>0</v>
      </c>
      <c r="N12" s="112">
        <f>'Pt 2 Premium and Claims'!N$54</f>
        <v>0</v>
      </c>
      <c r="O12" s="111">
        <f>'Pt 2 Premium and Claims'!O$54</f>
        <v>0</v>
      </c>
      <c r="P12" s="111">
        <f>'Pt 2 Premium and Claims'!P$54</f>
        <v>22002969</v>
      </c>
      <c r="Q12" s="112">
        <f>'Pt 2 Premium and Claims'!Q$54</f>
        <v>21350917.273378022</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145675041</v>
      </c>
      <c r="AT12" s="113">
        <f>'Pt 2 Premium and Claims'!AT$54</f>
        <v>3164086</v>
      </c>
      <c r="AU12" s="113">
        <f>'Pt 2 Premium and Claims'!AU$54</f>
        <v>0</v>
      </c>
      <c r="AV12" s="318"/>
      <c r="AW12" s="323"/>
    </row>
    <row r="13" spans="1:49" ht="25.5" x14ac:dyDescent="0.2">
      <c r="B13" s="161" t="s">
        <v>230</v>
      </c>
      <c r="C13" s="68" t="s">
        <v>37</v>
      </c>
      <c r="D13" s="115">
        <v>1597156</v>
      </c>
      <c r="E13" s="116">
        <v>1600326.54</v>
      </c>
      <c r="F13" s="116"/>
      <c r="G13" s="295"/>
      <c r="H13" s="296"/>
      <c r="I13" s="115"/>
      <c r="J13" s="115">
        <v>8864695</v>
      </c>
      <c r="K13" s="116">
        <v>8619669.8387091495</v>
      </c>
      <c r="L13" s="116"/>
      <c r="M13" s="295"/>
      <c r="N13" s="296"/>
      <c r="O13" s="115"/>
      <c r="P13" s="115">
        <v>3964558</v>
      </c>
      <c r="Q13" s="116">
        <v>4212311.9312908566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65035154</v>
      </c>
      <c r="AT13" s="119">
        <v>1016</v>
      </c>
      <c r="AU13" s="119"/>
      <c r="AV13" s="317"/>
      <c r="AW13" s="324"/>
    </row>
    <row r="14" spans="1:49" ht="25.5" x14ac:dyDescent="0.2">
      <c r="B14" s="161" t="s">
        <v>231</v>
      </c>
      <c r="C14" s="68" t="s">
        <v>6</v>
      </c>
      <c r="D14" s="115">
        <v>127530</v>
      </c>
      <c r="E14" s="116">
        <v>117885.72</v>
      </c>
      <c r="F14" s="116"/>
      <c r="G14" s="294"/>
      <c r="H14" s="297"/>
      <c r="I14" s="115"/>
      <c r="J14" s="115">
        <v>980543</v>
      </c>
      <c r="K14" s="116">
        <v>941955.80254843598</v>
      </c>
      <c r="L14" s="116"/>
      <c r="M14" s="294"/>
      <c r="N14" s="297"/>
      <c r="O14" s="115"/>
      <c r="P14" s="115">
        <v>388519</v>
      </c>
      <c r="Q14" s="116">
        <v>408346.95745156449</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17933127</v>
      </c>
      <c r="AT14" s="119">
        <v>151</v>
      </c>
      <c r="AU14" s="119"/>
      <c r="AV14" s="317"/>
      <c r="AW14" s="324"/>
    </row>
    <row r="15" spans="1:49" ht="38.25" x14ac:dyDescent="0.2">
      <c r="B15" s="161" t="s">
        <v>232</v>
      </c>
      <c r="C15" s="68" t="s">
        <v>7</v>
      </c>
      <c r="D15" s="115">
        <v>392</v>
      </c>
      <c r="E15" s="116">
        <v>392</v>
      </c>
      <c r="F15" s="116"/>
      <c r="G15" s="294"/>
      <c r="H15" s="300"/>
      <c r="I15" s="115"/>
      <c r="J15" s="115">
        <v>2266</v>
      </c>
      <c r="K15" s="116">
        <v>2266</v>
      </c>
      <c r="L15" s="116"/>
      <c r="M15" s="294"/>
      <c r="N15" s="300"/>
      <c r="O15" s="115"/>
      <c r="P15" s="115">
        <v>774</v>
      </c>
      <c r="Q15" s="116">
        <v>774</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5833</v>
      </c>
      <c r="AT15" s="119">
        <v>169</v>
      </c>
      <c r="AU15" s="119"/>
      <c r="AV15" s="317"/>
      <c r="AW15" s="324"/>
    </row>
    <row r="16" spans="1:49" ht="25.5" x14ac:dyDescent="0.2">
      <c r="B16" s="161" t="s">
        <v>233</v>
      </c>
      <c r="C16" s="68" t="s">
        <v>61</v>
      </c>
      <c r="D16" s="115">
        <v>-436802</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10046</v>
      </c>
      <c r="AT16" s="119">
        <v>-120541</v>
      </c>
      <c r="AU16" s="119"/>
      <c r="AV16" s="317"/>
      <c r="AW16" s="324"/>
    </row>
    <row r="17" spans="1:49" x14ac:dyDescent="0.2">
      <c r="B17" s="161" t="s">
        <v>234</v>
      </c>
      <c r="C17" s="68" t="s">
        <v>62</v>
      </c>
      <c r="D17" s="115"/>
      <c r="E17" s="294"/>
      <c r="F17" s="297"/>
      <c r="G17" s="297"/>
      <c r="H17" s="297"/>
      <c r="I17" s="298"/>
      <c r="J17" s="115">
        <v>-634336</v>
      </c>
      <c r="K17" s="294"/>
      <c r="L17" s="297"/>
      <c r="M17" s="297"/>
      <c r="N17" s="297"/>
      <c r="O17" s="298"/>
      <c r="P17" s="115">
        <v>529028</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-62104</v>
      </c>
      <c r="AU17" s="119"/>
      <c r="AV17" s="317"/>
      <c r="AW17" s="324"/>
    </row>
    <row r="18" spans="1:49" x14ac:dyDescent="0.2">
      <c r="B18" s="161" t="s">
        <v>235</v>
      </c>
      <c r="C18" s="68" t="s">
        <v>63</v>
      </c>
      <c r="D18" s="115"/>
      <c r="E18" s="294"/>
      <c r="F18" s="297"/>
      <c r="G18" s="297"/>
      <c r="H18" s="300"/>
      <c r="I18" s="298"/>
      <c r="J18" s="115">
        <v>687933</v>
      </c>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v>2451069</v>
      </c>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2397472</v>
      </c>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22769</v>
      </c>
      <c r="E22" s="121">
        <f>'Pt 2 Premium and Claims'!E$55</f>
        <v>22769</v>
      </c>
      <c r="F22" s="121">
        <f>'Pt 2 Premium and Claims'!F$55</f>
        <v>0</v>
      </c>
      <c r="G22" s="121">
        <f>'Pt 2 Premium and Claims'!G$55</f>
        <v>0</v>
      </c>
      <c r="H22" s="121">
        <f>'Pt 2 Premium and Claims'!H$55</f>
        <v>0</v>
      </c>
      <c r="I22" s="120">
        <f>'Pt 2 Premium and Claims'!I$55</f>
        <v>0</v>
      </c>
      <c r="J22" s="120">
        <f>'Pt 2 Premium and Claims'!J$55</f>
        <v>115920</v>
      </c>
      <c r="K22" s="121">
        <f>'Pt 2 Premium and Claims'!K$55</f>
        <v>115917.17</v>
      </c>
      <c r="L22" s="121">
        <f>'Pt 2 Premium and Claims'!L$55</f>
        <v>0</v>
      </c>
      <c r="M22" s="121">
        <f>'Pt 2 Premium and Claims'!M$55</f>
        <v>0</v>
      </c>
      <c r="N22" s="121">
        <f>'Pt 2 Premium and Claims'!N$55</f>
        <v>0</v>
      </c>
      <c r="O22" s="120">
        <f>'Pt 2 Premium and Claims'!O$55</f>
        <v>0</v>
      </c>
      <c r="P22" s="120">
        <f>'Pt 2 Premium and Claims'!P$55</f>
        <v>52967</v>
      </c>
      <c r="Q22" s="121">
        <f>'Pt 2 Premium and Claims'!Q$55</f>
        <v>52903.05</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-160195.4523</v>
      </c>
      <c r="E25" s="116">
        <v>-160195.4523</v>
      </c>
      <c r="F25" s="116"/>
      <c r="G25" s="116"/>
      <c r="H25" s="116"/>
      <c r="I25" s="115"/>
      <c r="J25" s="115">
        <v>1098453.2830000001</v>
      </c>
      <c r="K25" s="116">
        <v>1096135.927263173</v>
      </c>
      <c r="L25" s="116"/>
      <c r="M25" s="116"/>
      <c r="N25" s="116"/>
      <c r="O25" s="115"/>
      <c r="P25" s="115">
        <v>-96297.461299999995</v>
      </c>
      <c r="Q25" s="116">
        <v>-89975.072053063763</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3258721.5010000002</v>
      </c>
      <c r="AT25" s="119">
        <v>320637.67739999999</v>
      </c>
      <c r="AU25" s="119"/>
      <c r="AV25" s="119"/>
      <c r="AW25" s="324"/>
    </row>
    <row r="26" spans="1:49" s="11" customFormat="1" x14ac:dyDescent="0.2">
      <c r="A26" s="41"/>
      <c r="B26" s="164" t="s">
        <v>243</v>
      </c>
      <c r="C26" s="68"/>
      <c r="D26" s="115"/>
      <c r="E26" s="116">
        <v>11417.600000000002</v>
      </c>
      <c r="F26" s="116"/>
      <c r="G26" s="116"/>
      <c r="H26" s="116"/>
      <c r="I26" s="115"/>
      <c r="J26" s="115"/>
      <c r="K26" s="116">
        <v>32383.886788491702</v>
      </c>
      <c r="L26" s="116"/>
      <c r="M26" s="116"/>
      <c r="N26" s="116"/>
      <c r="O26" s="115"/>
      <c r="P26" s="115"/>
      <c r="Q26" s="116">
        <v>11581.853621487338</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143143.50999999998</v>
      </c>
      <c r="E27" s="116">
        <v>143143.50999999998</v>
      </c>
      <c r="F27" s="116"/>
      <c r="G27" s="116"/>
      <c r="H27" s="116"/>
      <c r="I27" s="115"/>
      <c r="J27" s="115">
        <v>788514.02</v>
      </c>
      <c r="K27" s="116">
        <v>786850.52869263641</v>
      </c>
      <c r="L27" s="116"/>
      <c r="M27" s="116"/>
      <c r="N27" s="116"/>
      <c r="O27" s="115"/>
      <c r="P27" s="115">
        <v>277862.68</v>
      </c>
      <c r="Q27" s="116">
        <v>259619.66511216218</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2266408.54</v>
      </c>
      <c r="AT27" s="119">
        <v>12451.749999999998</v>
      </c>
      <c r="AU27" s="119"/>
      <c r="AV27" s="320"/>
      <c r="AW27" s="324"/>
    </row>
    <row r="28" spans="1:49" s="11" customFormat="1" x14ac:dyDescent="0.2">
      <c r="A28" s="41"/>
      <c r="B28" s="164" t="s">
        <v>245</v>
      </c>
      <c r="C28" s="68"/>
      <c r="D28" s="115">
        <v>346572.51</v>
      </c>
      <c r="E28" s="116">
        <v>55105.440000000002</v>
      </c>
      <c r="F28" s="116"/>
      <c r="G28" s="116"/>
      <c r="H28" s="116"/>
      <c r="I28" s="115"/>
      <c r="J28" s="115">
        <v>964524.9</v>
      </c>
      <c r="K28" s="116">
        <v>136228.92659029149</v>
      </c>
      <c r="L28" s="116"/>
      <c r="M28" s="116"/>
      <c r="N28" s="116"/>
      <c r="O28" s="115"/>
      <c r="P28" s="115">
        <v>396492.89999999997</v>
      </c>
      <c r="Q28" s="116">
        <v>50458.715282659221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12763.039999999999</v>
      </c>
      <c r="AT28" s="119">
        <v>2264.4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-6135.1003199999968</v>
      </c>
      <c r="E30" s="116">
        <v>-490.55031999999619</v>
      </c>
      <c r="F30" s="116"/>
      <c r="G30" s="116"/>
      <c r="H30" s="116"/>
      <c r="I30" s="115"/>
      <c r="J30" s="115">
        <v>91592.619229999968</v>
      </c>
      <c r="K30" s="116">
        <v>91688.592141634741</v>
      </c>
      <c r="L30" s="116"/>
      <c r="M30" s="116"/>
      <c r="N30" s="116"/>
      <c r="O30" s="115"/>
      <c r="P30" s="115">
        <v>30.793052000002362</v>
      </c>
      <c r="Q30" s="116">
        <v>5219.8999133121579</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259032.38329999996</v>
      </c>
      <c r="AT30" s="119">
        <v>23231.812839999995</v>
      </c>
      <c r="AU30" s="119"/>
      <c r="AV30" s="119"/>
      <c r="AW30" s="324"/>
    </row>
    <row r="31" spans="1:49" x14ac:dyDescent="0.2">
      <c r="B31" s="164" t="s">
        <v>248</v>
      </c>
      <c r="C31" s="68"/>
      <c r="D31" s="115">
        <v>77927.47</v>
      </c>
      <c r="E31" s="116">
        <v>73623.77</v>
      </c>
      <c r="F31" s="116"/>
      <c r="G31" s="116"/>
      <c r="H31" s="116"/>
      <c r="I31" s="115"/>
      <c r="J31" s="115">
        <v>414555.47700000001</v>
      </c>
      <c r="K31" s="116">
        <v>413680.90861577587</v>
      </c>
      <c r="L31" s="116"/>
      <c r="M31" s="116"/>
      <c r="N31" s="116"/>
      <c r="O31" s="115"/>
      <c r="P31" s="115">
        <v>148565.94</v>
      </c>
      <c r="Q31" s="116">
        <v>138811.87495158971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31757.06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358864.4</v>
      </c>
      <c r="F34" s="116"/>
      <c r="G34" s="116"/>
      <c r="H34" s="116"/>
      <c r="I34" s="115"/>
      <c r="J34" s="115"/>
      <c r="K34" s="116">
        <v>922243.27306702</v>
      </c>
      <c r="L34" s="116"/>
      <c r="M34" s="116"/>
      <c r="N34" s="116"/>
      <c r="O34" s="115"/>
      <c r="P34" s="115"/>
      <c r="Q34" s="116">
        <v>357305.94305960875</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15086.320000000002</v>
      </c>
      <c r="E35" s="116">
        <v>15543.2</v>
      </c>
      <c r="F35" s="116"/>
      <c r="G35" s="116"/>
      <c r="H35" s="116"/>
      <c r="I35" s="115"/>
      <c r="J35" s="115">
        <v>38495.08</v>
      </c>
      <c r="K35" s="116">
        <v>42121.370642640228</v>
      </c>
      <c r="L35" s="116"/>
      <c r="M35" s="116"/>
      <c r="N35" s="116"/>
      <c r="O35" s="115"/>
      <c r="P35" s="115">
        <v>15131.19</v>
      </c>
      <c r="Q35" s="116">
        <v>14172.307039449652</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118180.36000000002</v>
      </c>
      <c r="AT35" s="119">
        <v>3463.59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45723</v>
      </c>
      <c r="E37" s="124">
        <v>45723.25</v>
      </c>
      <c r="F37" s="124"/>
      <c r="G37" s="124"/>
      <c r="H37" s="124"/>
      <c r="I37" s="123"/>
      <c r="J37" s="123">
        <v>244999</v>
      </c>
      <c r="K37" s="124">
        <v>244743.31</v>
      </c>
      <c r="L37" s="124"/>
      <c r="M37" s="124"/>
      <c r="N37" s="124"/>
      <c r="O37" s="123"/>
      <c r="P37" s="123">
        <v>91270</v>
      </c>
      <c r="Q37" s="124">
        <v>86651.219999999987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1110262</v>
      </c>
      <c r="AT37" s="125">
        <v>137</v>
      </c>
      <c r="AU37" s="125"/>
      <c r="AV37" s="125"/>
      <c r="AW37" s="323"/>
    </row>
    <row r="38" spans="1:49" x14ac:dyDescent="0.2">
      <c r="B38" s="161" t="s">
        <v>255</v>
      </c>
      <c r="C38" s="68" t="s">
        <v>16</v>
      </c>
      <c r="D38" s="115">
        <v>10917</v>
      </c>
      <c r="E38" s="116">
        <v>10916.630000000001</v>
      </c>
      <c r="F38" s="116"/>
      <c r="G38" s="116"/>
      <c r="H38" s="116"/>
      <c r="I38" s="115"/>
      <c r="J38" s="115">
        <v>103092</v>
      </c>
      <c r="K38" s="116">
        <v>102904.81</v>
      </c>
      <c r="L38" s="116"/>
      <c r="M38" s="116"/>
      <c r="N38" s="116"/>
      <c r="O38" s="115"/>
      <c r="P38" s="115">
        <v>38957</v>
      </c>
      <c r="Q38" s="116">
        <v>35632.39</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407204</v>
      </c>
      <c r="AT38" s="119">
        <v>-1</v>
      </c>
      <c r="AU38" s="119"/>
      <c r="AV38" s="119"/>
      <c r="AW38" s="324"/>
    </row>
    <row r="39" spans="1:49" x14ac:dyDescent="0.2">
      <c r="B39" s="164" t="s">
        <v>256</v>
      </c>
      <c r="C39" s="68" t="s">
        <v>17</v>
      </c>
      <c r="D39" s="115">
        <v>24047</v>
      </c>
      <c r="E39" s="116">
        <v>24046.560000000001</v>
      </c>
      <c r="F39" s="116"/>
      <c r="G39" s="116"/>
      <c r="H39" s="116"/>
      <c r="I39" s="115"/>
      <c r="J39" s="115">
        <v>101704</v>
      </c>
      <c r="K39" s="116">
        <v>101665.56</v>
      </c>
      <c r="L39" s="116"/>
      <c r="M39" s="116"/>
      <c r="N39" s="116"/>
      <c r="O39" s="115"/>
      <c r="P39" s="115">
        <v>35755</v>
      </c>
      <c r="Q39" s="116">
        <v>35025.050000000003</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415142</v>
      </c>
      <c r="AT39" s="119">
        <v>1440</v>
      </c>
      <c r="AU39" s="119"/>
      <c r="AV39" s="119"/>
      <c r="AW39" s="324"/>
    </row>
    <row r="40" spans="1:49" x14ac:dyDescent="0.2">
      <c r="B40" s="164" t="s">
        <v>257</v>
      </c>
      <c r="C40" s="68" t="s">
        <v>38</v>
      </c>
      <c r="D40" s="115">
        <v>104476</v>
      </c>
      <c r="E40" s="116">
        <v>104475.61</v>
      </c>
      <c r="F40" s="116"/>
      <c r="G40" s="116"/>
      <c r="H40" s="116"/>
      <c r="I40" s="115"/>
      <c r="J40" s="115">
        <v>817914</v>
      </c>
      <c r="K40" s="116">
        <v>817732.27000000014</v>
      </c>
      <c r="L40" s="116"/>
      <c r="M40" s="116"/>
      <c r="N40" s="116"/>
      <c r="O40" s="115"/>
      <c r="P40" s="115">
        <v>322459</v>
      </c>
      <c r="Q40" s="116">
        <v>318817.58999999997</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818199</v>
      </c>
      <c r="AT40" s="119">
        <v>5796</v>
      </c>
      <c r="AU40" s="119"/>
      <c r="AV40" s="119"/>
      <c r="AW40" s="324"/>
    </row>
    <row r="41" spans="1:49" s="11" customFormat="1" ht="25.5" x14ac:dyDescent="0.2">
      <c r="A41" s="41"/>
      <c r="B41" s="164" t="s">
        <v>258</v>
      </c>
      <c r="C41" s="68" t="s">
        <v>129</v>
      </c>
      <c r="D41" s="115">
        <v>27776</v>
      </c>
      <c r="E41" s="116">
        <v>27776.039999999997</v>
      </c>
      <c r="F41" s="116"/>
      <c r="G41" s="116"/>
      <c r="H41" s="116"/>
      <c r="I41" s="115"/>
      <c r="J41" s="115">
        <v>66583</v>
      </c>
      <c r="K41" s="116">
        <v>66479.860000000015</v>
      </c>
      <c r="L41" s="116"/>
      <c r="M41" s="116"/>
      <c r="N41" s="116"/>
      <c r="O41" s="115"/>
      <c r="P41" s="115">
        <v>25987</v>
      </c>
      <c r="Q41" s="116">
        <v>23889.510000000002</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711184</v>
      </c>
      <c r="AT41" s="119">
        <v>5896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171919</v>
      </c>
      <c r="E44" s="124">
        <v>171919</v>
      </c>
      <c r="F44" s="124"/>
      <c r="G44" s="124"/>
      <c r="H44" s="124"/>
      <c r="I44" s="123"/>
      <c r="J44" s="123">
        <v>922122</v>
      </c>
      <c r="K44" s="124">
        <v>920414.58055908023</v>
      </c>
      <c r="L44" s="124"/>
      <c r="M44" s="124"/>
      <c r="N44" s="124"/>
      <c r="O44" s="123"/>
      <c r="P44" s="123">
        <v>390046</v>
      </c>
      <c r="Q44" s="124">
        <v>358240.38944106019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2293540</v>
      </c>
      <c r="AT44" s="125">
        <v>9605</v>
      </c>
      <c r="AU44" s="125"/>
      <c r="AV44" s="125"/>
      <c r="AW44" s="323"/>
    </row>
    <row r="45" spans="1:49" x14ac:dyDescent="0.2">
      <c r="B45" s="167" t="s">
        <v>262</v>
      </c>
      <c r="C45" s="68" t="s">
        <v>19</v>
      </c>
      <c r="D45" s="115">
        <v>194525</v>
      </c>
      <c r="E45" s="116">
        <v>194525</v>
      </c>
      <c r="F45" s="116"/>
      <c r="G45" s="116"/>
      <c r="H45" s="116"/>
      <c r="I45" s="115"/>
      <c r="J45" s="115">
        <v>529016</v>
      </c>
      <c r="K45" s="116">
        <v>528036.46344956791</v>
      </c>
      <c r="L45" s="116"/>
      <c r="M45" s="116"/>
      <c r="N45" s="116"/>
      <c r="O45" s="115"/>
      <c r="P45" s="115">
        <v>210556</v>
      </c>
      <c r="Q45" s="116">
        <v>193386.58373410281</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2321642</v>
      </c>
      <c r="AT45" s="119">
        <v>49323</v>
      </c>
      <c r="AU45" s="119"/>
      <c r="AV45" s="119"/>
      <c r="AW45" s="324"/>
    </row>
    <row r="46" spans="1:49" x14ac:dyDescent="0.2">
      <c r="B46" s="167" t="s">
        <v>263</v>
      </c>
      <c r="C46" s="68" t="s">
        <v>20</v>
      </c>
      <c r="D46" s="115">
        <v>216650</v>
      </c>
      <c r="E46" s="116">
        <v>216650</v>
      </c>
      <c r="F46" s="116"/>
      <c r="G46" s="116"/>
      <c r="H46" s="116"/>
      <c r="I46" s="115"/>
      <c r="J46" s="115">
        <v>421163</v>
      </c>
      <c r="K46" s="116">
        <v>420383.16621011531</v>
      </c>
      <c r="L46" s="116"/>
      <c r="M46" s="116"/>
      <c r="N46" s="116"/>
      <c r="O46" s="115"/>
      <c r="P46" s="115">
        <v>171428</v>
      </c>
      <c r="Q46" s="116">
        <v>157449.20722453779</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2471022</v>
      </c>
      <c r="AT46" s="119">
        <v>23265</v>
      </c>
      <c r="AU46" s="119"/>
      <c r="AV46" s="119"/>
      <c r="AW46" s="324"/>
    </row>
    <row r="47" spans="1:49" x14ac:dyDescent="0.2">
      <c r="B47" s="167" t="s">
        <v>264</v>
      </c>
      <c r="C47" s="68" t="s">
        <v>21</v>
      </c>
      <c r="D47" s="115">
        <v>602130</v>
      </c>
      <c r="E47" s="116">
        <v>602130</v>
      </c>
      <c r="F47" s="116"/>
      <c r="G47" s="116"/>
      <c r="H47" s="116"/>
      <c r="I47" s="115"/>
      <c r="J47" s="115">
        <v>3582284</v>
      </c>
      <c r="K47" s="116">
        <v>3575650.9716756614</v>
      </c>
      <c r="L47" s="116"/>
      <c r="M47" s="116"/>
      <c r="N47" s="116"/>
      <c r="O47" s="115"/>
      <c r="P47" s="115">
        <v>1253896</v>
      </c>
      <c r="Q47" s="116">
        <v>1151649.2704926792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1507770</v>
      </c>
      <c r="AT47" s="119">
        <v>422986</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73056.360320000007</v>
      </c>
      <c r="E49" s="116">
        <v>13962.440319999998</v>
      </c>
      <c r="F49" s="116"/>
      <c r="G49" s="116"/>
      <c r="H49" s="116"/>
      <c r="I49" s="115"/>
      <c r="J49" s="115">
        <v>64876.493769999986</v>
      </c>
      <c r="K49" s="116">
        <v>-67640.562283548861</v>
      </c>
      <c r="L49" s="116"/>
      <c r="M49" s="116"/>
      <c r="N49" s="116"/>
      <c r="O49" s="115"/>
      <c r="P49" s="115">
        <v>180937.02694800001</v>
      </c>
      <c r="Q49" s="116">
        <v>112992.03921888556</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1070630.1867</v>
      </c>
      <c r="AT49" s="119">
        <v>36874.537160000007</v>
      </c>
      <c r="AU49" s="119"/>
      <c r="AV49" s="119"/>
      <c r="AW49" s="324"/>
    </row>
    <row r="50" spans="2:49" ht="25.5" x14ac:dyDescent="0.2">
      <c r="B50" s="161" t="s">
        <v>266</v>
      </c>
      <c r="C50" s="68"/>
      <c r="D50" s="115">
        <v>805.21999999999991</v>
      </c>
      <c r="E50" s="116">
        <v>805.21999999999991</v>
      </c>
      <c r="F50" s="116"/>
      <c r="G50" s="116"/>
      <c r="H50" s="116"/>
      <c r="I50" s="115"/>
      <c r="J50" s="115">
        <v>2198.7399999999993</v>
      </c>
      <c r="K50" s="116">
        <v>2194.6687692718224</v>
      </c>
      <c r="L50" s="116"/>
      <c r="M50" s="116"/>
      <c r="N50" s="116"/>
      <c r="O50" s="115"/>
      <c r="P50" s="115">
        <v>880.14</v>
      </c>
      <c r="Q50" s="116">
        <v>808.37054184033343</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6990.8300000000027</v>
      </c>
      <c r="AT50" s="119">
        <v>172.87</v>
      </c>
      <c r="AU50" s="119"/>
      <c r="AV50" s="119"/>
      <c r="AW50" s="324"/>
    </row>
    <row r="51" spans="2:49" x14ac:dyDescent="0.2">
      <c r="B51" s="161" t="s">
        <v>267</v>
      </c>
      <c r="C51" s="68"/>
      <c r="D51" s="115">
        <v>1571986</v>
      </c>
      <c r="E51" s="116">
        <v>1571986</v>
      </c>
      <c r="F51" s="116"/>
      <c r="G51" s="116"/>
      <c r="H51" s="116"/>
      <c r="I51" s="115"/>
      <c r="J51" s="115">
        <v>4025824</v>
      </c>
      <c r="K51" s="116">
        <v>4018369.7041873839</v>
      </c>
      <c r="L51" s="116"/>
      <c r="M51" s="116"/>
      <c r="N51" s="116"/>
      <c r="O51" s="115"/>
      <c r="P51" s="115">
        <v>1698408</v>
      </c>
      <c r="Q51" s="116">
        <v>1559914.3263866624</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12188742</v>
      </c>
      <c r="AT51" s="119">
        <v>366151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2628</v>
      </c>
      <c r="E56" s="128">
        <v>2575</v>
      </c>
      <c r="F56" s="128"/>
      <c r="G56" s="128"/>
      <c r="H56" s="128"/>
      <c r="I56" s="127"/>
      <c r="J56" s="127">
        <v>10318</v>
      </c>
      <c r="K56" s="128">
        <v>9883</v>
      </c>
      <c r="L56" s="128"/>
      <c r="M56" s="128"/>
      <c r="N56" s="128"/>
      <c r="O56" s="127"/>
      <c r="P56" s="127">
        <v>4238</v>
      </c>
      <c r="Q56" s="128">
        <v>3419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77386</v>
      </c>
      <c r="AT56" s="129">
        <v>11811</v>
      </c>
      <c r="AU56" s="129"/>
      <c r="AV56" s="129"/>
      <c r="AW56" s="315"/>
    </row>
    <row r="57" spans="2:49" x14ac:dyDescent="0.2">
      <c r="B57" s="167" t="s">
        <v>273</v>
      </c>
      <c r="C57" s="68" t="s">
        <v>25</v>
      </c>
      <c r="D57" s="130">
        <v>5001</v>
      </c>
      <c r="E57" s="131">
        <v>4939</v>
      </c>
      <c r="F57" s="131"/>
      <c r="G57" s="131"/>
      <c r="H57" s="131"/>
      <c r="I57" s="130"/>
      <c r="J57" s="130">
        <v>18575</v>
      </c>
      <c r="K57" s="131">
        <v>17819</v>
      </c>
      <c r="L57" s="131"/>
      <c r="M57" s="131"/>
      <c r="N57" s="131"/>
      <c r="O57" s="130"/>
      <c r="P57" s="130">
        <v>7945</v>
      </c>
      <c r="Q57" s="131">
        <v>6128</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80986</v>
      </c>
      <c r="AT57" s="132">
        <v>11811</v>
      </c>
      <c r="AU57" s="132"/>
      <c r="AV57" s="132"/>
      <c r="AW57" s="316"/>
    </row>
    <row r="58" spans="2:49" x14ac:dyDescent="0.2">
      <c r="B58" s="167" t="s">
        <v>274</v>
      </c>
      <c r="C58" s="68" t="s">
        <v>26</v>
      </c>
      <c r="D58" s="336"/>
      <c r="E58" s="337"/>
      <c r="F58" s="337"/>
      <c r="G58" s="337"/>
      <c r="H58" s="337"/>
      <c r="I58" s="336"/>
      <c r="J58" s="130">
        <v>1183</v>
      </c>
      <c r="K58" s="131">
        <v>1183</v>
      </c>
      <c r="L58" s="131"/>
      <c r="M58" s="131"/>
      <c r="N58" s="131"/>
      <c r="O58" s="130"/>
      <c r="P58" s="130">
        <v>56</v>
      </c>
      <c r="Q58" s="131">
        <v>56</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15</v>
      </c>
      <c r="AT58" s="132">
        <v>99</v>
      </c>
      <c r="AU58" s="132"/>
      <c r="AV58" s="132"/>
      <c r="AW58" s="316"/>
    </row>
    <row r="59" spans="2:49" x14ac:dyDescent="0.2">
      <c r="B59" s="167" t="s">
        <v>275</v>
      </c>
      <c r="C59" s="68" t="s">
        <v>27</v>
      </c>
      <c r="D59" s="130">
        <v>65123</v>
      </c>
      <c r="E59" s="131">
        <v>65146</v>
      </c>
      <c r="F59" s="131"/>
      <c r="G59" s="131"/>
      <c r="H59" s="131"/>
      <c r="I59" s="130"/>
      <c r="J59" s="130">
        <v>188185</v>
      </c>
      <c r="K59" s="131">
        <v>183283</v>
      </c>
      <c r="L59" s="131"/>
      <c r="M59" s="131"/>
      <c r="N59" s="131"/>
      <c r="O59" s="130"/>
      <c r="P59" s="130">
        <v>87126</v>
      </c>
      <c r="Q59" s="131">
        <v>68752</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959108</v>
      </c>
      <c r="AT59" s="132">
        <v>110623</v>
      </c>
      <c r="AU59" s="132"/>
      <c r="AV59" s="132"/>
      <c r="AW59" s="316"/>
    </row>
    <row r="60" spans="2:49" x14ac:dyDescent="0.2">
      <c r="B60" s="167" t="s">
        <v>276</v>
      </c>
      <c r="C60" s="68"/>
      <c r="D60" s="133">
        <f>D$59/12</f>
        <v>5426.916666666667</v>
      </c>
      <c r="E60" s="134">
        <f>E$59/12</f>
        <v>5428.833333333333</v>
      </c>
      <c r="F60" s="134">
        <f>F$59/12</f>
        <v>0</v>
      </c>
      <c r="G60" s="134">
        <f>G$59/12</f>
        <v>0</v>
      </c>
      <c r="H60" s="134">
        <f>H$59/12</f>
        <v>0</v>
      </c>
      <c r="I60" s="133">
        <f>I$59/12</f>
        <v>0</v>
      </c>
      <c r="J60" s="133">
        <f>J$59/12</f>
        <v>15682.083333333334</v>
      </c>
      <c r="K60" s="134">
        <f>K$59/12</f>
        <v>15273.583333333334</v>
      </c>
      <c r="L60" s="134">
        <f>L$59/12</f>
        <v>0</v>
      </c>
      <c r="M60" s="134">
        <f>M$59/12</f>
        <v>0</v>
      </c>
      <c r="N60" s="134">
        <f>N$59/12</f>
        <v>0</v>
      </c>
      <c r="O60" s="133">
        <f>O$59/12</f>
        <v>0</v>
      </c>
      <c r="P60" s="133">
        <f>P$59/12</f>
        <v>7260.5</v>
      </c>
      <c r="Q60" s="134">
        <f>Q$59/12</f>
        <v>5729.333333333333</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79925.666666666672</v>
      </c>
      <c r="AT60" s="135">
        <f>AT$59/12</f>
        <v>9218.5833333333339</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11444501</v>
      </c>
      <c r="E5" s="124">
        <v>11305627.629999999</v>
      </c>
      <c r="F5" s="124"/>
      <c r="G5" s="136"/>
      <c r="H5" s="136"/>
      <c r="I5" s="123"/>
      <c r="J5" s="123">
        <v>59913617</v>
      </c>
      <c r="K5" s="124">
        <v>58227629.21445781</v>
      </c>
      <c r="L5" s="124"/>
      <c r="M5" s="124"/>
      <c r="N5" s="124"/>
      <c r="O5" s="123"/>
      <c r="P5" s="123">
        <v>26602955</v>
      </c>
      <c r="Q5" s="124">
        <v>25980734.369130798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181493386</v>
      </c>
      <c r="AT5" s="125">
        <v>5297540</v>
      </c>
      <c r="AU5" s="125"/>
      <c r="AV5" s="318"/>
      <c r="AW5" s="323"/>
    </row>
    <row r="6" spans="2:49" x14ac:dyDescent="0.2">
      <c r="B6" s="182" t="s">
        <v>279</v>
      </c>
      <c r="C6" s="139" t="s">
        <v>8</v>
      </c>
      <c r="D6" s="115">
        <v>33092</v>
      </c>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18748</v>
      </c>
      <c r="AU6" s="119"/>
      <c r="AV6" s="317"/>
      <c r="AW6" s="324"/>
    </row>
    <row r="7" spans="2:49" x14ac:dyDescent="0.2">
      <c r="B7" s="182" t="s">
        <v>280</v>
      </c>
      <c r="C7" s="139" t="s">
        <v>9</v>
      </c>
      <c r="D7" s="115">
        <v>28338</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6910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v>43985.650000002002</v>
      </c>
      <c r="K9" s="294"/>
      <c r="L9" s="294"/>
      <c r="M9" s="294"/>
      <c r="N9" s="294"/>
      <c r="O9" s="298"/>
      <c r="P9" s="115">
        <v>-98372</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v>-43985.94000000041</v>
      </c>
      <c r="K11" s="116"/>
      <c r="L11" s="116"/>
      <c r="M11" s="116"/>
      <c r="N11" s="116"/>
      <c r="O11" s="115"/>
      <c r="P11" s="115">
        <v>22873</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-4247326</v>
      </c>
      <c r="AT11" s="119"/>
      <c r="AU11" s="119"/>
      <c r="AV11" s="317"/>
      <c r="AW11" s="324"/>
    </row>
    <row r="12" spans="2:49" x14ac:dyDescent="0.2">
      <c r="B12" s="182" t="s">
        <v>283</v>
      </c>
      <c r="C12" s="139" t="s">
        <v>44</v>
      </c>
      <c r="D12" s="115"/>
      <c r="E12" s="295"/>
      <c r="F12" s="295"/>
      <c r="G12" s="295"/>
      <c r="H12" s="295"/>
      <c r="I12" s="299"/>
      <c r="J12" s="115">
        <v>-0.47999999718740582</v>
      </c>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-2991924</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385045.35</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97760.97</v>
      </c>
      <c r="F16" s="116"/>
      <c r="G16" s="116"/>
      <c r="H16" s="116"/>
      <c r="I16" s="115"/>
      <c r="J16" s="115"/>
      <c r="K16" s="116">
        <v>-291686.40999999997</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62036</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-259391.00000000003</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9148379</v>
      </c>
      <c r="E23" s="294"/>
      <c r="F23" s="294"/>
      <c r="G23" s="294"/>
      <c r="H23" s="294"/>
      <c r="I23" s="298"/>
      <c r="J23" s="115">
        <v>42763827</v>
      </c>
      <c r="K23" s="294"/>
      <c r="L23" s="294"/>
      <c r="M23" s="294"/>
      <c r="N23" s="294"/>
      <c r="O23" s="298"/>
      <c r="P23" s="115">
        <v>21768434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150391307</v>
      </c>
      <c r="AT23" s="119">
        <v>3103094</v>
      </c>
      <c r="AU23" s="119"/>
      <c r="AV23" s="317"/>
      <c r="AW23" s="324"/>
    </row>
    <row r="24" spans="2:49" ht="28.5" customHeight="1" x14ac:dyDescent="0.2">
      <c r="B24" s="184" t="s">
        <v>114</v>
      </c>
      <c r="C24" s="139"/>
      <c r="D24" s="299"/>
      <c r="E24" s="116">
        <v>9876837.9839999992</v>
      </c>
      <c r="F24" s="116"/>
      <c r="G24" s="116"/>
      <c r="H24" s="116"/>
      <c r="I24" s="115"/>
      <c r="J24" s="299"/>
      <c r="K24" s="116">
        <v>43126709.589999996</v>
      </c>
      <c r="L24" s="116"/>
      <c r="M24" s="116"/>
      <c r="N24" s="116"/>
      <c r="O24" s="115"/>
      <c r="P24" s="299"/>
      <c r="Q24" s="116">
        <v>21476400.050000001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1155971</v>
      </c>
      <c r="E26" s="294"/>
      <c r="F26" s="294"/>
      <c r="G26" s="294"/>
      <c r="H26" s="294"/>
      <c r="I26" s="298"/>
      <c r="J26" s="115">
        <v>5475900</v>
      </c>
      <c r="K26" s="294"/>
      <c r="L26" s="294"/>
      <c r="M26" s="294"/>
      <c r="N26" s="294"/>
      <c r="O26" s="298"/>
      <c r="P26" s="115">
        <v>2498904</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12994942</v>
      </c>
      <c r="AT26" s="119">
        <v>670582</v>
      </c>
      <c r="AU26" s="119"/>
      <c r="AV26" s="317"/>
      <c r="AW26" s="324"/>
    </row>
    <row r="27" spans="2:49" s="11" customFormat="1" ht="25.5" x14ac:dyDescent="0.2">
      <c r="B27" s="184" t="s">
        <v>85</v>
      </c>
      <c r="C27" s="139"/>
      <c r="D27" s="299"/>
      <c r="E27" s="116">
        <v>168895.25799999971</v>
      </c>
      <c r="F27" s="116"/>
      <c r="G27" s="116"/>
      <c r="H27" s="116"/>
      <c r="I27" s="115"/>
      <c r="J27" s="299"/>
      <c r="K27" s="116">
        <v>642210.3491704202</v>
      </c>
      <c r="L27" s="116"/>
      <c r="M27" s="116"/>
      <c r="N27" s="116"/>
      <c r="O27" s="115"/>
      <c r="P27" s="299"/>
      <c r="Q27" s="116">
        <v>293060.7008295827</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1575009</v>
      </c>
      <c r="E28" s="295"/>
      <c r="F28" s="295"/>
      <c r="G28" s="295"/>
      <c r="H28" s="295"/>
      <c r="I28" s="299"/>
      <c r="J28" s="115">
        <v>4074697</v>
      </c>
      <c r="K28" s="295"/>
      <c r="L28" s="295"/>
      <c r="M28" s="295"/>
      <c r="N28" s="295"/>
      <c r="O28" s="299"/>
      <c r="P28" s="115">
        <v>2193401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15722781</v>
      </c>
      <c r="AT28" s="119">
        <v>605621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14020</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v>13334.560000000001</v>
      </c>
      <c r="L31" s="116"/>
      <c r="M31" s="116"/>
      <c r="N31" s="116"/>
      <c r="O31" s="115"/>
      <c r="P31" s="299"/>
      <c r="Q31" s="116">
        <v>-10674.52</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11360</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1989012</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1989012</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2440342</v>
      </c>
      <c r="E36" s="116">
        <v>2440342</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v>731919</v>
      </c>
      <c r="K38" s="294"/>
      <c r="L38" s="294"/>
      <c r="M38" s="294"/>
      <c r="N38" s="294"/>
      <c r="O38" s="298"/>
      <c r="P38" s="115">
        <v>-98372</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156664</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v>2353486</v>
      </c>
      <c r="K41" s="294"/>
      <c r="L41" s="294"/>
      <c r="M41" s="294"/>
      <c r="N41" s="294"/>
      <c r="O41" s="298"/>
      <c r="P41" s="115">
        <v>22873</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-4247326</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v>2451069</v>
      </c>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-2991924</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1756294</v>
      </c>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1222257</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32584.000000000004</v>
      </c>
      <c r="E49" s="116">
        <v>117885.72</v>
      </c>
      <c r="F49" s="116"/>
      <c r="G49" s="116"/>
      <c r="H49" s="116"/>
      <c r="I49" s="115"/>
      <c r="J49" s="115">
        <v>289255</v>
      </c>
      <c r="K49" s="116">
        <v>941955.80254843598</v>
      </c>
      <c r="L49" s="116"/>
      <c r="M49" s="116"/>
      <c r="N49" s="116"/>
      <c r="O49" s="115"/>
      <c r="P49" s="115">
        <v>64699</v>
      </c>
      <c r="Q49" s="116">
        <v>408346.95745156443</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4852612</v>
      </c>
      <c r="AT49" s="119">
        <v>3714</v>
      </c>
      <c r="AU49" s="119"/>
      <c r="AV49" s="317"/>
      <c r="AW49" s="324"/>
    </row>
    <row r="50" spans="2:49" x14ac:dyDescent="0.2">
      <c r="B50" s="182" t="s">
        <v>119</v>
      </c>
      <c r="C50" s="139" t="s">
        <v>34</v>
      </c>
      <c r="D50" s="115">
        <v>68738</v>
      </c>
      <c r="E50" s="295"/>
      <c r="F50" s="295"/>
      <c r="G50" s="295"/>
      <c r="H50" s="295"/>
      <c r="I50" s="299"/>
      <c r="J50" s="115">
        <v>128430</v>
      </c>
      <c r="K50" s="295"/>
      <c r="L50" s="295"/>
      <c r="M50" s="295"/>
      <c r="N50" s="295"/>
      <c r="O50" s="299"/>
      <c r="P50" s="115">
        <v>69230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3428886</v>
      </c>
      <c r="AT50" s="119">
        <v>-255</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v>-51812</v>
      </c>
      <c r="L53" s="116"/>
      <c r="M53" s="116"/>
      <c r="N53" s="116"/>
      <c r="O53" s="115"/>
      <c r="P53" s="115"/>
      <c r="Q53" s="116">
        <v>478</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8314165</v>
      </c>
      <c r="E54" s="121">
        <f>E24+E27+E31+E35-E36+E39+E42+E45+E46-E49+E51+E52+E53</f>
        <v>9476517.521999998</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44641201</v>
      </c>
      <c r="K54" s="121">
        <f>K24+K27+K31+K35-K36+K39+K42+K45+K46-K49+K51+K52+K53</f>
        <v>42788486.696621977</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22002969</v>
      </c>
      <c r="Q54" s="121">
        <f>Q24+Q27+Q31+Q35-Q36+Q39+Q42+Q45+Q46-Q49+Q51+Q52+Q53</f>
        <v>21350917.273378022</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145675041</v>
      </c>
      <c r="AT54" s="122">
        <f>AT23+AT26-AT28+AT30-AT32+AT34-AT36+AT38+AT41-AT43+AT45+AT46-AT47-AT49+AT50+AT51+AT52+AT53</f>
        <v>3164086</v>
      </c>
      <c r="AU54" s="122">
        <f>AU23+AU26-AU28+AU30-AU32+AU34-AU36+AU38+AU41-AU43+AU45+AU46-AU47-AU49+AU50+AU51+AU52+AU53</f>
        <v>0</v>
      </c>
      <c r="AV54" s="317"/>
      <c r="AW54" s="324"/>
    </row>
    <row r="55" spans="2:49" ht="25.5" x14ac:dyDescent="0.2">
      <c r="B55" s="187" t="s">
        <v>304</v>
      </c>
      <c r="C55" s="143" t="s">
        <v>28</v>
      </c>
      <c r="D55" s="120">
        <f>MIN(MAX(0,D56),MAX(0,D57))</f>
        <v>22769</v>
      </c>
      <c r="E55" s="121">
        <f>MIN(MAX(0,E56),MAX(0,E57))</f>
        <v>22769</v>
      </c>
      <c r="F55" s="121">
        <f>MIN(MAX(0,F56),MAX(0,F57))</f>
        <v>0</v>
      </c>
      <c r="G55" s="121">
        <f>MIN(MAX(0,G56),MAX(0,G57))</f>
        <v>0</v>
      </c>
      <c r="H55" s="121">
        <f>MIN(MAX(0,H56),MAX(0,H57))</f>
        <v>0</v>
      </c>
      <c r="I55" s="120">
        <f>MIN(MAX(0,I56),MAX(0,I57))</f>
        <v>0</v>
      </c>
      <c r="J55" s="120">
        <f>MIN(MAX(0,J56),MAX(0,J57))</f>
        <v>115920</v>
      </c>
      <c r="K55" s="121">
        <f>MIN(MAX(0,K56),MAX(0,K57))</f>
        <v>115917.17</v>
      </c>
      <c r="L55" s="121">
        <f>MIN(MAX(0,L56),MAX(0,L57))</f>
        <v>0</v>
      </c>
      <c r="M55" s="121">
        <f>MIN(MAX(0,M56),MAX(0,M57))</f>
        <v>0</v>
      </c>
      <c r="N55" s="121">
        <f>MIN(MAX(0,N56),MAX(0,N57))</f>
        <v>0</v>
      </c>
      <c r="O55" s="120">
        <f>MIN(MAX(0,O56),MAX(0,O57))</f>
        <v>0</v>
      </c>
      <c r="P55" s="120">
        <f>MIN(MAX(0,P56),MAX(0,P57))</f>
        <v>52967</v>
      </c>
      <c r="Q55" s="121">
        <f>MIN(MAX(0,Q56),MAX(0,Q57))</f>
        <v>52903.05</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22769</v>
      </c>
      <c r="E56" s="116">
        <v>22769</v>
      </c>
      <c r="F56" s="116"/>
      <c r="G56" s="116"/>
      <c r="H56" s="116"/>
      <c r="I56" s="115"/>
      <c r="J56" s="115">
        <v>115920</v>
      </c>
      <c r="K56" s="116">
        <v>115917.17</v>
      </c>
      <c r="L56" s="116"/>
      <c r="M56" s="116"/>
      <c r="N56" s="116"/>
      <c r="O56" s="115"/>
      <c r="P56" s="115">
        <v>52967</v>
      </c>
      <c r="Q56" s="116">
        <v>52903.05</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64705</v>
      </c>
      <c r="E57" s="116">
        <v>64705</v>
      </c>
      <c r="F57" s="116"/>
      <c r="G57" s="116"/>
      <c r="H57" s="116"/>
      <c r="I57" s="115"/>
      <c r="J57" s="115">
        <v>159625</v>
      </c>
      <c r="K57" s="116">
        <v>159625</v>
      </c>
      <c r="L57" s="116"/>
      <c r="M57" s="116"/>
      <c r="N57" s="116"/>
      <c r="O57" s="115"/>
      <c r="P57" s="115">
        <v>189651</v>
      </c>
      <c r="Q57" s="116">
        <v>189490.76</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3000688</v>
      </c>
      <c r="AT57" s="119">
        <v>6031</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7878492.209999999</v>
      </c>
      <c r="D5" s="124">
        <v>9918930.3375000004</v>
      </c>
      <c r="E5" s="352"/>
      <c r="F5" s="352"/>
      <c r="G5" s="318"/>
      <c r="H5" s="123">
        <v>30166398.999999996</v>
      </c>
      <c r="I5" s="124">
        <v>33655996.716965653</v>
      </c>
      <c r="J5" s="352"/>
      <c r="K5" s="352"/>
      <c r="L5" s="318"/>
      <c r="M5" s="123">
        <v>19004491.530000001</v>
      </c>
      <c r="N5" s="124">
        <v>17330481.641234349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7824955.5700000003</v>
      </c>
      <c r="D6" s="116">
        <v>9692866.8114999998</v>
      </c>
      <c r="E6" s="121">
        <f>SUM('Pt 1 Summary of Data'!E$12,'Pt 1 Summary of Data'!E$22)+SUM('Pt 1 Summary of Data'!G$12,'Pt 1 Summary of Data'!G$22)-SUM('Pt 1 Summary of Data'!H$12,'Pt 1 Summary of Data'!H$22)</f>
        <v>9499286.521999998</v>
      </c>
      <c r="F6" s="121">
        <f>SUM(C6:E6)</f>
        <v>27017108.903499998</v>
      </c>
      <c r="G6" s="122">
        <f>SUM('Pt 1 Summary of Data'!I$12,'Pt 1 Summary of Data'!I$22)</f>
        <v>0</v>
      </c>
      <c r="H6" s="115">
        <v>30151176.769939695</v>
      </c>
      <c r="I6" s="116">
        <v>33536131.90507469</v>
      </c>
      <c r="J6" s="121">
        <f>SUM('Pt 1 Summary of Data'!K$12,'Pt 1 Summary of Data'!K$22)+SUM('Pt 1 Summary of Data'!M$12,'Pt 1 Summary of Data'!M$22)-SUM('Pt 1 Summary of Data'!N$12,'Pt 1 Summary of Data'!N$22)</f>
        <v>42904403.866621979</v>
      </c>
      <c r="K6" s="121">
        <f>SUM(H6:J6)</f>
        <v>106591712.54163636</v>
      </c>
      <c r="L6" s="122">
        <f>SUM('Pt 1 Summary of Data'!O$12,'Pt 1 Summary of Data'!O$22)</f>
        <v>0</v>
      </c>
      <c r="M6" s="115">
        <v>18959681.840060309</v>
      </c>
      <c r="N6" s="116">
        <v>17455253.070925303</v>
      </c>
      <c r="O6" s="121">
        <f>SUM('Pt 1 Summary of Data'!Q$12,'Pt 1 Summary of Data'!Q$22)+SUM('Pt 1 Summary of Data'!S$12,'Pt 1 Summary of Data'!S$22)-SUM('Pt 1 Summary of Data'!T$12,'Pt 1 Summary of Data'!T$22)</f>
        <v>21403820.323378023</v>
      </c>
      <c r="P6" s="121">
        <f>SUM(M6:O6)</f>
        <v>57818755.23436363</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229510.99</v>
      </c>
      <c r="D7" s="116">
        <v>307755.65999999997</v>
      </c>
      <c r="E7" s="121">
        <f>SUM('Pt 1 Summary of Data'!E$37:E$41)+SUM('Pt 1 Summary of Data'!G$37:G$41)-SUM('Pt 1 Summary of Data'!H$37:H$41)+MAX(0,MIN('Pt 1 Summary of Data'!E$42+'Pt 1 Summary of Data'!G$42-'Pt 1 Summary of Data'!H$42,0.3%*('Pt 1 Summary of Data'!E$5+'Pt 1 Summary of Data'!G$5-'Pt 1 Summary of Data'!H$5-SUM(E$9:E$11))))</f>
        <v>212938.09</v>
      </c>
      <c r="F7" s="121">
        <f>SUM(C7:E7)</f>
        <v>750204.73999999987</v>
      </c>
      <c r="G7" s="122">
        <f>SUM('Pt 1 Summary of Data'!I$37:I$41)+MAX(0,MIN('Pt 1 Summary of Data'!I$42,0.3%*('Pt 1 Summary of Data'!I$5-SUM(G$9:G$10))))</f>
        <v>0</v>
      </c>
      <c r="H7" s="115">
        <v>991023.03</v>
      </c>
      <c r="I7" s="116">
        <v>1162584.5</v>
      </c>
      <c r="J7" s="121">
        <f>SUM('Pt 1 Summary of Data'!K$37:K$41)+SUM('Pt 1 Summary of Data'!M$37:M$41)-SUM('Pt 1 Summary of Data'!N$37:N$41)+MAX(0,MIN('Pt 1 Summary of Data'!K$42+'Pt 1 Summary of Data'!M$42-'Pt 1 Summary of Data'!N$42,0.3%*('Pt 1 Summary of Data'!K$5+'Pt 1 Summary of Data'!M$5-'Pt 1 Summary of Data'!N$5-SUM(J$10:J$11))))</f>
        <v>1333525.8100000003</v>
      </c>
      <c r="K7" s="121">
        <f>SUM(H7:J7)</f>
        <v>3487133.3400000008</v>
      </c>
      <c r="L7" s="122">
        <f>SUM('Pt 1 Summary of Data'!O$37:O$41)+MAX(0,MIN('Pt 1 Summary of Data'!O$42,0.3%*('Pt 1 Summary of Data'!O$5-L$10)))</f>
        <v>0</v>
      </c>
      <c r="M7" s="115">
        <v>504976.84</v>
      </c>
      <c r="N7" s="116">
        <v>528432.19999999995</v>
      </c>
      <c r="O7" s="121">
        <f>SUM('Pt 1 Summary of Data'!Q$37:Q$41)+SUM('Pt 1 Summary of Data'!S$37:S$41)-SUM('Pt 1 Summary of Data'!T$37:T$41)+MAX(0,MIN('Pt 1 Summary of Data'!Q$42+'Pt 1 Summary of Data'!S$42-'Pt 1 Summary of Data'!T$42,0.3%*('Pt 1 Summary of Data'!Q$5+'Pt 1 Summary of Data'!S$5-'Pt 1 Summary of Data'!T$5)))</f>
        <v>500015.75999999995</v>
      </c>
      <c r="P7" s="121">
        <f>SUM(M7:O7)</f>
        <v>1533424.8</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385045.35</v>
      </c>
      <c r="F9" s="121">
        <f>SUM(C9:E9)</f>
        <v>385045.35</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97760.97</v>
      </c>
      <c r="F10" s="121">
        <f>SUM(C10:E10)</f>
        <v>97760.97</v>
      </c>
      <c r="G10" s="122">
        <f>'Pt 2 Premium and Claims'!I$16</f>
        <v>0</v>
      </c>
      <c r="H10" s="298"/>
      <c r="I10" s="294"/>
      <c r="J10" s="121">
        <f>'Pt 2 Premium and Claims'!K$16+'Pt 2 Premium and Claims'!M$16-'Pt 2 Premium and Claims'!N$16</f>
        <v>-291686.40999999997</v>
      </c>
      <c r="K10" s="121">
        <f>SUM(H10:J10)</f>
        <v>-291686.40999999997</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8054466.5600000005</v>
      </c>
      <c r="D12" s="121">
        <f>SUM(D$6:D$7)+IF(AND(OR('Company Information'!$C$12="District of Columbia",'Company Information'!$C$12="Massachusetts",'Company Information'!$C$12="Vermont"),SUM($C$6:$F$11,$C$15:$F$16,$C$37:$D$37)&lt;&gt;0),SUM(I$6:I$7),0)</f>
        <v>10000622.4715</v>
      </c>
      <c r="E12" s="121">
        <f>SUM(E$6:E$7)-SUM(E$8:E$11)+IF(AND(OR('Company Information'!$C$12="District of Columbia",'Company Information'!$C$12="Massachusetts",'Company Information'!$C$12="Vermont"),SUM($C$6:$F$11,$C$15:$F$16,$C$37:$D$37)&lt;&gt;0),SUM(J$6:J$7)-SUM(J$10:J$11),0)</f>
        <v>9229418.2919999976</v>
      </c>
      <c r="F12" s="121">
        <f>IFERROR(SUM(C$12:E$12)+C$17*MAX(0,E$49-C$49)+D$17*MAX(0,E$49-D$49),0)</f>
        <v>27284507.3235</v>
      </c>
      <c r="G12" s="317"/>
      <c r="H12" s="120">
        <f>SUM(H$6:H$7)+IF(AND(OR('Company Information'!$C$12="District of Columbia",'Company Information'!$C$12="Massachusetts",'Company Information'!$C$12="Vermont"),SUM($H$6:$K$11,$H$15:$K$16,$H$37:$I$37)&lt;&gt;0),SUM(C$6:C$7),0)</f>
        <v>31142199.799939696</v>
      </c>
      <c r="I12" s="121">
        <f>SUM(I$6:I$7)+IF(AND(OR('Company Information'!$C$12="District of Columbia",'Company Information'!$C$12="Massachusetts",'Company Information'!$C$12="Vermont"),SUM($H$6:$K$11,$H$15:$K$16,$H$37:$I$37)&lt;&gt;0),SUM(D$6:D$7),0)</f>
        <v>34698716.405074686</v>
      </c>
      <c r="J12" s="121">
        <f>SUM(J$6:J$7)-SUM(J$10:J$11)+IF(AND(OR('Company Information'!$C$12="District of Columbia",'Company Information'!$C$12="Massachusetts",'Company Information'!$C$12="Vermont"),SUM($H$6:$K$11,$H$15:$K$16,$H$37:$I$37)&lt;&gt;0),SUM(E$6:E$7)-SUM(E$8:E$11),0)</f>
        <v>44529616.086621977</v>
      </c>
      <c r="K12" s="121">
        <f>IFERROR(SUM(H$12:J$12)+H$17*MAX(0,J$49-H$49)+I$17*MAX(0,J$49-I$49),0)</f>
        <v>110370532.29163635</v>
      </c>
      <c r="L12" s="317"/>
      <c r="M12" s="120">
        <f>SUM(M$6:M$7)</f>
        <v>19464658.680060308</v>
      </c>
      <c r="N12" s="121">
        <f>SUM(N$6:N$7)</f>
        <v>17983685.270925302</v>
      </c>
      <c r="O12" s="121">
        <f>SUM(O$6:O$7)</f>
        <v>21903836.083378024</v>
      </c>
      <c r="P12" s="121">
        <f>SUM(M$12:O$12)+M$17*MAX(0,O$49-M$49)+N$17*MAX(0,O$49-N$49)</f>
        <v>59352180.034363635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12363948.109999999</v>
      </c>
      <c r="D15" s="124">
        <v>12134118.216197921</v>
      </c>
      <c r="E15" s="112">
        <f>SUM('Pt 1 Summary of Data'!E$5:E$7)+SUM('Pt 1 Summary of Data'!G$5:G$7)-SUM('Pt 1 Summary of Data'!H$5:H$7)-SUM(E$9:E$11)+D$55</f>
        <v>11420448.073802078</v>
      </c>
      <c r="F15" s="112">
        <f>SUM(C15:E15)</f>
        <v>35918514.399999999</v>
      </c>
      <c r="G15" s="113">
        <f>SUM('Pt 1 Summary of Data'!I$5:I$7)-SUM(G$9:G$10)</f>
        <v>0</v>
      </c>
      <c r="H15" s="123">
        <v>43266652.609999999</v>
      </c>
      <c r="I15" s="124">
        <v>48837542.000735484</v>
      </c>
      <c r="J15" s="112">
        <f>SUM('Pt 1 Summary of Data'!K$5:K$7)+SUM('Pt 1 Summary of Data'!M$5:M$7)-SUM('Pt 1 Summary of Data'!N$5:N$7)-SUM(J$10:J$11)+I$55</f>
        <v>58445443.383304611</v>
      </c>
      <c r="K15" s="112">
        <f>SUM(H15:J15)</f>
        <v>150549637.99404007</v>
      </c>
      <c r="L15" s="113">
        <f>SUM('Pt 1 Summary of Data'!O$5:O$7)-L$10</f>
        <v>0</v>
      </c>
      <c r="M15" s="123">
        <v>22491068.809999999</v>
      </c>
      <c r="N15" s="124">
        <v>21285377.457213238</v>
      </c>
      <c r="O15" s="112">
        <f>SUM('Pt 1 Summary of Data'!Q$5:Q$7)+SUM('Pt 1 Summary of Data'!S$5:S$7)-SUM('Pt 1 Summary of Data'!T$5:T$7)+N$55</f>
        <v>25990440.940304212</v>
      </c>
      <c r="P15" s="112">
        <f>SUM(M15:O15)</f>
        <v>69766887.207517445</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828271</v>
      </c>
      <c r="D16" s="116">
        <v>-259626.11265062232</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494100.03003062238</v>
      </c>
      <c r="F16" s="121">
        <f>SUM(C16:E16)</f>
        <v>1062744.91738</v>
      </c>
      <c r="G16" s="122">
        <f>SUM('Pt 1 Summary of Data'!I$25:I$28,'Pt 1 Summary of Data'!I$30,'Pt 1 Summary of Data'!I$34:I$35)+IF('Company Information'!$C$15="No",IF(MAX('Pt 1 Summary of Data'!I$31:I$32)=0,MIN('Pt 1 Summary of Data'!I$31:I$32),MAX('Pt 1 Summary of Data'!I$31:I$32)),SUM('Pt 1 Summary of Data'!I$31:I$32))</f>
        <v>0</v>
      </c>
      <c r="H16" s="115">
        <v>1106614.3199999998</v>
      </c>
      <c r="I16" s="116">
        <v>2975219.0868717418</v>
      </c>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3540872.1390319085</v>
      </c>
      <c r="K16" s="121">
        <f>SUM(H16:J16)</f>
        <v>7622705.5459036501</v>
      </c>
      <c r="L16" s="122">
        <f>SUM('Pt 1 Summary of Data'!O$25:O$28,'Pt 1 Summary of Data'!O$30,'Pt 1 Summary of Data'!O$34:O$35)+IF('Company Information'!$C$15="No",IF(MAX('Pt 1 Summary of Data'!O$31:O$32)=0,MIN('Pt 1 Summary of Data'!O$31:O$32),MAX('Pt 1 Summary of Data'!O$31:O$32)),SUM('Pt 1 Summary of Data'!O$31:O$32))</f>
        <v>0</v>
      </c>
      <c r="M16" s="115">
        <v>-51716.669999999984</v>
      </c>
      <c r="N16" s="116">
        <v>53537.318876869576</v>
      </c>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747347.85317132401</v>
      </c>
      <c r="P16" s="121">
        <f>SUM(M16:O16)</f>
        <v>749168.50204819359</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11535677.109999999</v>
      </c>
      <c r="D17" s="121">
        <f>D$15-D$16+IF(AND(OR('Company Information'!$C$12="District of Columbia",'Company Information'!$C$12="Massachusetts",'Company Information'!$C$12="Vermont"),SUM($C$6:$F$11,$C$15:$F$16,$C$37:$D$37)&lt;&gt;0),I$15-I$16,0)</f>
        <v>12393744.328848543</v>
      </c>
      <c r="E17" s="121">
        <f>E$15-E$16+IF(AND(OR('Company Information'!$C$12="District of Columbia",'Company Information'!$C$12="Massachusetts",'Company Information'!$C$12="Vermont"),SUM($C$6:$F$11,$C$15:$F$16,$C$37:$D$37)&lt;&gt;0),J$15-J$16,0)</f>
        <v>10926348.043771455</v>
      </c>
      <c r="F17" s="121">
        <f>F$15-F$16+IF(AND(OR('Company Information'!$C$12="District of Columbia",'Company Information'!$C$12="Massachusetts",'Company Information'!$C$12="Vermont"),SUM($C$6:$F$11,$C$15:$F$16,$C$37:$D$37)&lt;&gt;0),K$15-K$16,0)</f>
        <v>34855769.482620001</v>
      </c>
      <c r="G17" s="320"/>
      <c r="H17" s="120">
        <f>H$15-H$16+IF(AND(OR('Company Information'!$C$12="District of Columbia",'Company Information'!$C$12="Massachusetts",'Company Information'!$C$12="Vermont"),SUM($H$6:$K$11,$H$15:$K$16,$H$37:$I$37)&lt;&gt;0),C$15-C$16,0)</f>
        <v>42160038.289999999</v>
      </c>
      <c r="I17" s="121">
        <f>I$15-I$16+IF(AND(OR('Company Information'!$C$12="District of Columbia",'Company Information'!$C$12="Massachusetts",'Company Information'!$C$12="Vermont"),SUM($H$6:$K$11,$H$15:$K$16,$H$37:$I$37)&lt;&gt;0),D$15-D$16,0)</f>
        <v>45862322.913863741</v>
      </c>
      <c r="J17" s="121">
        <f>J$15-J$16+IF(AND(OR('Company Information'!$C$12="District of Columbia",'Company Information'!$C$12="Massachusetts",'Company Information'!$C$12="Vermont"),SUM($H$6:$K$11,$H$15:$K$16,$H$37:$I$37)&lt;&gt;0),E$15-E$16,0)</f>
        <v>54904571.244272701</v>
      </c>
      <c r="K17" s="121">
        <f>K$15-K$16+IF(AND(OR('Company Information'!$C$12="District of Columbia",'Company Information'!$C$12="Massachusetts",'Company Information'!$C$12="Vermont"),SUM($H$6:$K$11,$H$15:$K$16,$H$37:$I$37)&lt;&gt;0),F$15-F$16,0)</f>
        <v>142926932.44813642</v>
      </c>
      <c r="L17" s="320"/>
      <c r="M17" s="120">
        <f>M$15-M$16</f>
        <v>22542785.48</v>
      </c>
      <c r="N17" s="121">
        <f>N$15-N$16</f>
        <v>21231840.138336368</v>
      </c>
      <c r="O17" s="121">
        <f>O$15-O$16</f>
        <v>25243093.08713289</v>
      </c>
      <c r="P17" s="121">
        <f>P$15-P$16</f>
        <v>69017718.705469251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6530.166666666667</v>
      </c>
      <c r="D37" s="128">
        <v>6409</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5428.833333333333</v>
      </c>
      <c r="F37" s="262">
        <f>SUM(C$37:E$37)+IF(AND(OR('Company Information'!$C$12="District of Columbia",'Company Information'!$C$12="Massachusetts",'Company Information'!$C$12="Vermont"),SUM($C$6:$F$11,$C$15:$F$16,$C$37:$D$37)&lt;&gt;0,SUM(C$37:D$37)&lt;&gt;SUM(H$37:I$37)),SUM(H$37:I$37),0)</f>
        <v>18368</v>
      </c>
      <c r="G37" s="318"/>
      <c r="H37" s="127">
        <v>12075</v>
      </c>
      <c r="I37" s="128">
        <v>13288</v>
      </c>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15273.583333333334</v>
      </c>
      <c r="K37" s="262">
        <f>SUM(H$37:J$37)+IF(AND(OR('Company Information'!$C$12="District of Columbia",'Company Information'!$C$12="Massachusetts",'Company Information'!$C$12="Vermont"),SUM($H$6:$K$11,$H$15:$K$16,$H$37:$I$37)&lt;&gt;0,SUM(H$37:I$37)&lt;&gt;SUM(C$37:D$37)),SUM(C$37:D$37),0)</f>
        <v>40636.583333333336</v>
      </c>
      <c r="L37" s="318"/>
      <c r="M37" s="127">
        <v>5402.166666666667</v>
      </c>
      <c r="N37" s="128">
        <v>4839</v>
      </c>
      <c r="O37" s="262">
        <f>('Pt 1 Summary of Data'!Q$59+'Pt 1 Summary of Data'!S$59-'Pt 1 Summary of Data'!T$59)/12</f>
        <v>5729.333333333333</v>
      </c>
      <c r="P37" s="262">
        <f>SUM(M$37:O$37)</f>
        <v>15970.5</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2.0421333333333333E-2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1.3498146666666667E-2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2.2019666666666667E-2</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4186.2547385489634</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1.3245314511098611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2.7048698273598178E-2</v>
      </c>
      <c r="G41" s="317"/>
      <c r="H41" s="298"/>
      <c r="I41" s="294"/>
      <c r="J41" s="294"/>
      <c r="K41" s="266">
        <f ca="1">IF(OR(K$37&lt;1000,K$37&gt;=75000),0,K$38*K$40)</f>
        <v>1.3498146666666667E-2</v>
      </c>
      <c r="L41" s="317"/>
      <c r="M41" s="298"/>
      <c r="N41" s="294"/>
      <c r="O41" s="294"/>
      <c r="P41" s="266">
        <f ca="1">IF(OR(P$37&lt;1000,P$37&gt;=75000),0,P$38*P$40)</f>
        <v>2.2019666666666667E-2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0.69822226152791489</v>
      </c>
      <c r="D44" s="266">
        <f>IF(OR(D$37&lt;1000,D$17&lt;=0),"",D$12/D$17)</f>
        <v>0.80690888936782845</v>
      </c>
      <c r="E44" s="266">
        <f>IF(OR(E$37&lt;1000,E$17&lt;=0),"",E$12/E$17)</f>
        <v>0.84469378561130593</v>
      </c>
      <c r="F44" s="266">
        <f>IF(OR(F$37&lt;1000,F$17&lt;=0),"",F$12/F$17)</f>
        <v>0.78278310100440529</v>
      </c>
      <c r="G44" s="317"/>
      <c r="H44" s="268">
        <f>IF(OR(H$37&lt;1000,H$17&lt;=0),"",H$12/H$17)</f>
        <v>0.73866630731515159</v>
      </c>
      <c r="I44" s="266">
        <f>IF(OR(I$37&lt;1000,I$17&lt;=0),"",I$12/I$17)</f>
        <v>0.75658436381960048</v>
      </c>
      <c r="J44" s="266">
        <f>IF(OR(J$37&lt;1000,J$17&lt;=0),"",J$12/J$17)</f>
        <v>0.81103658725441785</v>
      </c>
      <c r="K44" s="266">
        <f>IF(OR(K$37&lt;1000,K$17&lt;=0),"",K$12/K$17)</f>
        <v>0.77221647733667176</v>
      </c>
      <c r="L44" s="317"/>
      <c r="M44" s="268">
        <f>IF(OR(M$37&lt;1000,M$17&lt;=0),"",M$12/M$17)</f>
        <v>0.86345401713241643</v>
      </c>
      <c r="N44" s="266">
        <f>IF(OR(N$37&lt;1000,N$17&lt;=0),"",N$12/N$17)</f>
        <v>0.84701491504044568</v>
      </c>
      <c r="O44" s="266">
        <f>IF(OR(O$37&lt;1000,O$17&lt;=0),"",O$12/O$17)</f>
        <v>0.86771601276323074</v>
      </c>
      <c r="P44" s="266">
        <f>IF(OR(P$37&lt;1000,P$17&lt;=0),"",P$12/P$17)</f>
        <v>0.8599556917789043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IF(F$44="","",F$41)</f>
        <v>2.7048698273598178E-2</v>
      </c>
      <c r="G46" s="317"/>
      <c r="H46" s="298"/>
      <c r="I46" s="294"/>
      <c r="J46" s="294"/>
      <c r="K46" s="266">
        <f ca="1">IF(K$44="","",K$41)</f>
        <v>1.3498146666666667E-2</v>
      </c>
      <c r="L46" s="317"/>
      <c r="M46" s="298"/>
      <c r="N46" s="294"/>
      <c r="O46" s="294"/>
      <c r="P46" s="266">
        <f ca="1">IF(P$44="","",P$41)</f>
        <v>2.2019666666666667E-2</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0.81</v>
      </c>
      <c r="G47" s="317"/>
      <c r="H47" s="298"/>
      <c r="I47" s="294"/>
      <c r="J47" s="294"/>
      <c r="K47" s="266">
        <f ca="1">IF(K$44="","",ROUND(K$44+MAX(0,K$46),3))</f>
        <v>0.78600000000000003</v>
      </c>
      <c r="L47" s="317"/>
      <c r="M47" s="298"/>
      <c r="N47" s="294"/>
      <c r="O47" s="294"/>
      <c r="P47" s="266">
        <f ca="1">IF(P$44="","",ROUND(P$44+MAX(0,P$46),3))</f>
        <v>0.88200000000000001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0.81</v>
      </c>
      <c r="G50" s="317"/>
      <c r="H50" s="299"/>
      <c r="I50" s="295"/>
      <c r="J50" s="295"/>
      <c r="K50" s="266">
        <f ca="1">K$47</f>
        <v>0.78600000000000003</v>
      </c>
      <c r="L50" s="317"/>
      <c r="M50" s="299"/>
      <c r="N50" s="295"/>
      <c r="O50" s="295"/>
      <c r="P50" s="266">
        <f ca="1">P$47</f>
        <v>0.88200000000000001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10926348.043771455</v>
      </c>
      <c r="G51" s="317"/>
      <c r="H51" s="298"/>
      <c r="I51" s="294"/>
      <c r="J51" s="294"/>
      <c r="K51" s="121">
        <f>IF(K$37&lt;1000,"",MAX(0,J$15-J$16))</f>
        <v>54904571.244272701</v>
      </c>
      <c r="L51" s="317"/>
      <c r="M51" s="298"/>
      <c r="N51" s="294"/>
      <c r="O51" s="294"/>
      <c r="P51" s="121">
        <f>IF(P$37&lt;1000,"",MAX(0,O$15-O$16))</f>
        <v>25243093.08713289</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IF(OR(F$37&lt;1000,F$17&lt;=0),0,MAX(0,F$49-F$50)*F$51)</f>
        <v>0</v>
      </c>
      <c r="G52" s="317"/>
      <c r="H52" s="298"/>
      <c r="I52" s="294"/>
      <c r="J52" s="294"/>
      <c r="K52" s="121">
        <f ca="1">IF(OR(K$37&lt;1000,K$17&lt;=0),0,MAX(0,K$49-K$50)*K$51)</f>
        <v>768663.99741981854</v>
      </c>
      <c r="L52" s="317"/>
      <c r="M52" s="298"/>
      <c r="N52" s="294"/>
      <c r="O52" s="294"/>
      <c r="P52" s="121">
        <f ca="1">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136816.44380207881</v>
      </c>
      <c r="E55" s="294"/>
      <c r="F55" s="294"/>
      <c r="G55" s="317"/>
      <c r="H55" s="298"/>
      <c r="I55" s="116">
        <v>322472.90839499945</v>
      </c>
      <c r="J55" s="294"/>
      <c r="K55" s="294"/>
      <c r="L55" s="317"/>
      <c r="M55" s="298"/>
      <c r="N55" s="116">
        <v>60981.56780853495</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-2911.88734937767</v>
      </c>
      <c r="E56" s="294"/>
      <c r="F56" s="294"/>
      <c r="G56" s="317"/>
      <c r="H56" s="298"/>
      <c r="I56" s="116">
        <v>19538.725230245222</v>
      </c>
      <c r="J56" s="294"/>
      <c r="K56" s="294"/>
      <c r="L56" s="317"/>
      <c r="M56" s="298"/>
      <c r="N56" s="116">
        <v>152.6662441187633</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2575</v>
      </c>
      <c r="D4" s="155">
        <f>'Pt 1 Summary of Data'!$K$56+'Pt 1 Summary of Data'!$M$56-'Pt 1 Summary of Data'!$N$56</f>
        <v>9883</v>
      </c>
      <c r="E4" s="155">
        <f>'Pt 1 Summary of Data'!$Q$56+'Pt 1 Summary of Data'!$S$56-'Pt 1 Summary of Data'!$T$56</f>
        <v>3419</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1263</v>
      </c>
      <c r="E6" s="129"/>
      <c r="F6" s="369"/>
      <c r="G6" s="129"/>
      <c r="H6" s="129"/>
      <c r="I6" s="369"/>
      <c r="J6" s="369"/>
      <c r="K6" s="378"/>
    </row>
    <row r="7" spans="2:11" x14ac:dyDescent="0.2">
      <c r="B7" s="161" t="s">
        <v>102</v>
      </c>
      <c r="C7" s="130"/>
      <c r="D7" s="132">
        <v>152</v>
      </c>
      <c r="E7" s="132"/>
      <c r="F7" s="132"/>
      <c r="G7" s="132"/>
      <c r="H7" s="132"/>
      <c r="I7" s="380"/>
      <c r="J7" s="380"/>
      <c r="K7" s="215"/>
    </row>
    <row r="8" spans="2:11" x14ac:dyDescent="0.2">
      <c r="B8" s="161" t="s">
        <v>103</v>
      </c>
      <c r="C8" s="367"/>
      <c r="D8" s="132">
        <v>17</v>
      </c>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768663.99741981854</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v>-0.98</v>
      </c>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768664</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687934.84370795672</v>
      </c>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v>1</v>
      </c>
      <c r="E18" s="145"/>
      <c r="F18" s="145"/>
      <c r="G18" s="145"/>
      <c r="H18" s="145"/>
      <c r="I18" s="359"/>
      <c r="J18" s="359"/>
      <c r="K18" s="373"/>
    </row>
    <row r="19" spans="2:12" ht="25.5" x14ac:dyDescent="0.2">
      <c r="B19" s="161" t="s">
        <v>208</v>
      </c>
      <c r="C19" s="357"/>
      <c r="D19" s="145">
        <v>1</v>
      </c>
      <c r="E19" s="145"/>
      <c r="F19" s="376"/>
      <c r="G19" s="145"/>
      <c r="H19" s="145"/>
      <c r="I19" s="359"/>
      <c r="J19" s="359"/>
      <c r="K19" s="377"/>
    </row>
    <row r="20" spans="2:12" ht="25.5" x14ac:dyDescent="0.2">
      <c r="B20" s="161" t="s">
        <v>209</v>
      </c>
      <c r="C20" s="375"/>
      <c r="D20" s="145">
        <v>1</v>
      </c>
      <c r="E20" s="145"/>
      <c r="F20" s="145"/>
      <c r="G20" s="145"/>
      <c r="H20" s="145"/>
      <c r="I20" s="359"/>
      <c r="J20" s="359"/>
      <c r="K20" s="373"/>
    </row>
    <row r="21" spans="2:12" ht="25.5" x14ac:dyDescent="0.2">
      <c r="B21" s="161" t="s">
        <v>210</v>
      </c>
      <c r="C21" s="357"/>
      <c r="D21" s="145">
        <v>1</v>
      </c>
      <c r="E21" s="145"/>
      <c r="F21" s="376"/>
      <c r="G21" s="145"/>
      <c r="H21" s="145"/>
      <c r="I21" s="359"/>
      <c r="J21" s="359"/>
      <c r="K21" s="377"/>
    </row>
    <row r="22" spans="2:12" s="11" customFormat="1" x14ac:dyDescent="0.2">
      <c r="B22" s="217" t="s">
        <v>211</v>
      </c>
      <c r="C22" s="192"/>
      <c r="D22" s="218">
        <v>21219.379999999997</v>
      </c>
      <c r="E22" s="218"/>
      <c r="F22" s="218"/>
      <c r="G22" s="218"/>
      <c r="H22" s="218"/>
      <c r="I22" s="365"/>
      <c r="J22" s="365"/>
      <c r="K22" s="374"/>
    </row>
    <row r="23" spans="2:12" s="11" customFormat="1" ht="100.15" customHeight="1" x14ac:dyDescent="0.2">
      <c r="B23" s="108" t="s">
        <v>212</v>
      </c>
      <c r="C23" s="6" t="s">
        <v>506</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