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E11" i="16"/>
  <c r="D11" i="16"/>
  <c r="C11" i="16"/>
  <c r="H4" i="16"/>
  <c r="G4" i="16"/>
  <c r="F4" i="16"/>
  <c r="E4" i="16"/>
  <c r="D4" i="16"/>
  <c r="C4" i="16"/>
  <c r="AB52" i="10"/>
  <c r="X52" i="10"/>
  <c r="G11" i="16" s="1"/>
  <c r="T52" i="10"/>
  <c r="F11" i="16" s="1"/>
  <c r="P52" i="10"/>
  <c r="K52" i="10"/>
  <c r="F52" i="10"/>
  <c r="AB51" i="10"/>
  <c r="X51" i="10"/>
  <c r="T51" i="10"/>
  <c r="P51" i="10"/>
  <c r="K51" i="10"/>
  <c r="F51" i="10"/>
  <c r="AB50" i="10"/>
  <c r="P50" i="10"/>
  <c r="K50" i="10"/>
  <c r="F50" i="10"/>
  <c r="AB47" i="10"/>
  <c r="X47" i="10"/>
  <c r="X50" i="10" s="1"/>
  <c r="P47" i="10"/>
  <c r="K47" i="10"/>
  <c r="F47" i="10"/>
  <c r="AB46" i="10"/>
  <c r="X46" i="10"/>
  <c r="P46" i="10"/>
  <c r="K46" i="10"/>
  <c r="F46" i="10"/>
  <c r="AB45" i="10"/>
  <c r="AA45" i="10"/>
  <c r="Z45" i="10"/>
  <c r="Y45" i="10"/>
  <c r="X45" i="10"/>
  <c r="W45" i="10"/>
  <c r="V45" i="10"/>
  <c r="U45" i="10"/>
  <c r="T45" i="10"/>
  <c r="T46" i="10" s="1"/>
  <c r="S45" i="10"/>
  <c r="R45" i="10"/>
  <c r="Q45" i="10"/>
  <c r="P44" i="10"/>
  <c r="O44" i="10"/>
  <c r="N44" i="10"/>
  <c r="M44" i="10"/>
  <c r="K44" i="10"/>
  <c r="J44" i="10"/>
  <c r="K38" i="10" s="1"/>
  <c r="I44" i="10"/>
  <c r="H44" i="10"/>
  <c r="F44" i="10"/>
  <c r="E44" i="10"/>
  <c r="D44" i="10"/>
  <c r="C44" i="10"/>
  <c r="AB41" i="10"/>
  <c r="X41" i="10"/>
  <c r="T41" i="10"/>
  <c r="P41" i="10"/>
  <c r="K41" i="10"/>
  <c r="F41" i="10"/>
  <c r="AB40" i="10"/>
  <c r="X40" i="10"/>
  <c r="T40" i="10"/>
  <c r="P40" i="10"/>
  <c r="K40" i="10"/>
  <c r="F40" i="10"/>
  <c r="P38" i="10"/>
  <c r="AB37" i="10"/>
  <c r="AA37" i="10"/>
  <c r="X37" i="10"/>
  <c r="W37" i="10"/>
  <c r="T37" i="10"/>
  <c r="S37" i="10"/>
  <c r="P37" i="10"/>
  <c r="O37" i="10"/>
  <c r="K37" i="10"/>
  <c r="J37" i="10"/>
  <c r="F37" i="10"/>
  <c r="E37" i="10"/>
  <c r="L29" i="10"/>
  <c r="G29" i="10"/>
  <c r="L28" i="10"/>
  <c r="L25" i="10"/>
  <c r="G25" i="10"/>
  <c r="L24" i="10"/>
  <c r="L23" i="10" s="1"/>
  <c r="L27" i="10" s="1"/>
  <c r="L31" i="10" s="1"/>
  <c r="L32" i="10" s="1"/>
  <c r="L33" i="10" s="1"/>
  <c r="L21" i="10"/>
  <c r="G21" i="10"/>
  <c r="L20" i="10"/>
  <c r="L19" i="10"/>
  <c r="G19" i="10"/>
  <c r="AB17" i="10"/>
  <c r="AA17" i="10"/>
  <c r="Z17" i="10"/>
  <c r="Y17" i="10"/>
  <c r="X17" i="10"/>
  <c r="W17" i="10"/>
  <c r="V17" i="10"/>
  <c r="U17" i="10"/>
  <c r="T17" i="10"/>
  <c r="S17" i="10"/>
  <c r="R17" i="10"/>
  <c r="Q17" i="10"/>
  <c r="P17" i="10"/>
  <c r="O17" i="10"/>
  <c r="N17" i="10"/>
  <c r="M17" i="10"/>
  <c r="K17" i="10"/>
  <c r="J17" i="10"/>
  <c r="I17" i="10"/>
  <c r="H17" i="10"/>
  <c r="F17" i="10"/>
  <c r="E17" i="10"/>
  <c r="D17" i="10"/>
  <c r="C17" i="10"/>
  <c r="AB16" i="10"/>
  <c r="AA16" i="10"/>
  <c r="X16" i="10"/>
  <c r="W16" i="10"/>
  <c r="U13" i="10" s="1"/>
  <c r="T16" i="10"/>
  <c r="S16" i="10"/>
  <c r="Q13" i="10" s="1"/>
  <c r="P16" i="10"/>
  <c r="O16" i="10"/>
  <c r="L16" i="10"/>
  <c r="K16" i="10"/>
  <c r="J16" i="10"/>
  <c r="H12" i="10" s="1"/>
  <c r="G16" i="10"/>
  <c r="F16" i="10"/>
  <c r="E16" i="10"/>
  <c r="E12" i="10" s="1"/>
  <c r="AB15" i="10"/>
  <c r="AA15" i="10"/>
  <c r="X15" i="10"/>
  <c r="W15" i="10"/>
  <c r="W13" i="10" s="1"/>
  <c r="T15" i="10"/>
  <c r="S15" i="10"/>
  <c r="P15" i="10"/>
  <c r="O15" i="10"/>
  <c r="L15" i="10"/>
  <c r="K15" i="10"/>
  <c r="J15" i="10"/>
  <c r="G15" i="10"/>
  <c r="F15" i="10"/>
  <c r="E15" i="10"/>
  <c r="C12" i="10" s="1"/>
  <c r="AB13" i="10"/>
  <c r="AA13" i="10"/>
  <c r="Z13" i="10"/>
  <c r="Y13" i="10"/>
  <c r="S13" i="10"/>
  <c r="R13" i="10"/>
  <c r="P12" i="10"/>
  <c r="O12" i="10"/>
  <c r="N12" i="10"/>
  <c r="M12" i="10"/>
  <c r="J12" i="10"/>
  <c r="I12" i="10"/>
  <c r="D12" i="10"/>
  <c r="K11" i="10"/>
  <c r="J11" i="10"/>
  <c r="F11" i="10"/>
  <c r="E11" i="10"/>
  <c r="L10" i="10"/>
  <c r="K10" i="10"/>
  <c r="J10" i="10"/>
  <c r="G10" i="10"/>
  <c r="F10" i="10"/>
  <c r="E10" i="10"/>
  <c r="E7" i="10" s="1"/>
  <c r="F7" i="10" s="1"/>
  <c r="G9" i="10"/>
  <c r="F9" i="10"/>
  <c r="E9" i="10"/>
  <c r="F8" i="10"/>
  <c r="AB7" i="10"/>
  <c r="AA7" i="10"/>
  <c r="X7" i="10"/>
  <c r="W7" i="10"/>
  <c r="T7" i="10"/>
  <c r="S7" i="10"/>
  <c r="P7" i="10"/>
  <c r="O7" i="10"/>
  <c r="L7" i="10"/>
  <c r="J7" i="10"/>
  <c r="K7" i="10" s="1"/>
  <c r="G7" i="10"/>
  <c r="AB6" i="10"/>
  <c r="AA6" i="10"/>
  <c r="X6" i="10"/>
  <c r="W6" i="10"/>
  <c r="T6" i="10"/>
  <c r="S6" i="10"/>
  <c r="P6" i="10"/>
  <c r="O6" i="10"/>
  <c r="L6" i="10"/>
  <c r="K6" i="10"/>
  <c r="J6" i="10"/>
  <c r="G6" i="10"/>
  <c r="F6" i="10"/>
  <c r="E6" i="10"/>
  <c r="AU55" i="18"/>
  <c r="AU22" i="4" s="1"/>
  <c r="AT55" i="18"/>
  <c r="AT22" i="4" s="1"/>
  <c r="AS55" i="18"/>
  <c r="AC55" i="18"/>
  <c r="AC22" i="4" s="1"/>
  <c r="AB55" i="18"/>
  <c r="AB22" i="4" s="1"/>
  <c r="AA55" i="18"/>
  <c r="AA22" i="4" s="1"/>
  <c r="Z55" i="18"/>
  <c r="Z22" i="4" s="1"/>
  <c r="Y55" i="18"/>
  <c r="Y22" i="4" s="1"/>
  <c r="X55" i="18"/>
  <c r="X22" i="4" s="1"/>
  <c r="W55" i="18"/>
  <c r="W22" i="4" s="1"/>
  <c r="V55" i="18"/>
  <c r="V22" i="4" s="1"/>
  <c r="U55" i="18"/>
  <c r="T55" i="18"/>
  <c r="T22" i="4" s="1"/>
  <c r="S55" i="18"/>
  <c r="S22" i="4" s="1"/>
  <c r="R55" i="18"/>
  <c r="R22" i="4" s="1"/>
  <c r="Q55" i="18"/>
  <c r="Q22" i="4" s="1"/>
  <c r="P55" i="18"/>
  <c r="P22" i="4" s="1"/>
  <c r="O55" i="18"/>
  <c r="O22" i="4" s="1"/>
  <c r="N55" i="18"/>
  <c r="N22" i="4" s="1"/>
  <c r="M55" i="18"/>
  <c r="L55" i="18"/>
  <c r="K55" i="18"/>
  <c r="J55" i="18"/>
  <c r="I55" i="18"/>
  <c r="I22" i="4" s="1"/>
  <c r="H55" i="18"/>
  <c r="H22" i="4" s="1"/>
  <c r="G55" i="18"/>
  <c r="F55" i="18"/>
  <c r="F22" i="4" s="1"/>
  <c r="E55" i="18"/>
  <c r="E22" i="4" s="1"/>
  <c r="D55" i="18"/>
  <c r="AU54" i="18"/>
  <c r="AT54" i="18"/>
  <c r="AT12" i="4" s="1"/>
  <c r="AS54" i="18"/>
  <c r="AS12" i="4" s="1"/>
  <c r="AC54" i="18"/>
  <c r="AC12" i="4" s="1"/>
  <c r="AB54" i="18"/>
  <c r="AB12" i="4" s="1"/>
  <c r="AA54" i="18"/>
  <c r="AA12" i="4" s="1"/>
  <c r="Z54" i="18"/>
  <c r="Y54" i="18"/>
  <c r="X54" i="18"/>
  <c r="X12" i="4" s="1"/>
  <c r="W54" i="18"/>
  <c r="W12" i="4" s="1"/>
  <c r="V54" i="18"/>
  <c r="V12" i="4" s="1"/>
  <c r="U54" i="18"/>
  <c r="U12" i="4" s="1"/>
  <c r="T54" i="18"/>
  <c r="S54" i="18"/>
  <c r="S12" i="4" s="1"/>
  <c r="R54" i="18"/>
  <c r="R12" i="4" s="1"/>
  <c r="Q54" i="18"/>
  <c r="Q12" i="4" s="1"/>
  <c r="P54" i="18"/>
  <c r="P12" i="4" s="1"/>
  <c r="O54" i="18"/>
  <c r="N54" i="18"/>
  <c r="N12" i="4" s="1"/>
  <c r="M54" i="18"/>
  <c r="L54" i="18"/>
  <c r="L12" i="4" s="1"/>
  <c r="K54" i="18"/>
  <c r="J54" i="18"/>
  <c r="I54" i="18"/>
  <c r="H54" i="18"/>
  <c r="G54" i="18"/>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S22" i="4"/>
  <c r="U22" i="4"/>
  <c r="M22" i="4"/>
  <c r="L22" i="4"/>
  <c r="K22" i="4"/>
  <c r="J22" i="4"/>
  <c r="G22" i="4"/>
  <c r="D22" i="4"/>
  <c r="AU12" i="4"/>
  <c r="Z12" i="4"/>
  <c r="Y12" i="4"/>
  <c r="T12" i="4"/>
  <c r="O12" i="4"/>
  <c r="M12" i="4"/>
  <c r="K12" i="4"/>
  <c r="J12" i="4"/>
  <c r="I12" i="4"/>
  <c r="H12" i="4"/>
  <c r="G12" i="4"/>
  <c r="F12" i="4"/>
  <c r="E12" i="4"/>
  <c r="D12" i="4"/>
  <c r="AU5" i="4"/>
  <c r="AT5" i="4"/>
  <c r="AS5" i="4"/>
  <c r="AC5" i="4"/>
  <c r="AB5" i="4"/>
  <c r="AA5" i="4"/>
  <c r="Z5" i="4"/>
  <c r="Y5" i="4"/>
  <c r="X5" i="4"/>
  <c r="W5" i="4"/>
  <c r="V5" i="4"/>
  <c r="U5" i="4"/>
  <c r="T5" i="4"/>
  <c r="S5" i="4"/>
  <c r="R5" i="4"/>
  <c r="Q5" i="4"/>
  <c r="P5" i="4"/>
  <c r="O5" i="4"/>
  <c r="N5" i="4"/>
  <c r="M5" i="4"/>
  <c r="L5" i="4"/>
  <c r="K5" i="4"/>
  <c r="J5" i="4"/>
  <c r="I5" i="4"/>
  <c r="H5" i="4"/>
  <c r="G5" i="4"/>
  <c r="F5" i="4"/>
  <c r="E5" i="4"/>
  <c r="D5" i="4"/>
  <c r="G20" i="10" l="1"/>
  <c r="G24" i="10" s="1"/>
  <c r="G23" i="10" s="1"/>
  <c r="L26" i="10"/>
  <c r="L30" i="10" s="1"/>
  <c r="G28" i="10"/>
  <c r="T47" i="10"/>
  <c r="T50" i="10" s="1"/>
  <c r="AB38" i="10"/>
  <c r="X38" i="10"/>
  <c r="T38" i="10"/>
  <c r="F38" i="10"/>
  <c r="X13" i="10"/>
  <c r="T13" i="10"/>
  <c r="K12" i="10"/>
  <c r="V13" i="10"/>
  <c r="F12" i="10"/>
  <c r="G27" i="10" l="1"/>
  <c r="G26" i="10" l="1"/>
  <c r="G30" i="10" s="1"/>
  <c r="G31" i="10"/>
  <c r="G32" i="10" s="1"/>
  <c r="G33" i="10" s="1"/>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<sst xmlns="http://schemas.openxmlformats.org/spreadsheetml/2006/main" count="566" uniqueCount="505">
  <si>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</si>
  <si>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</si>
  <si>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</si>
  <si>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</si>
  <si>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</si>
  <si>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</si>
  <si>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</si>
  <si>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</si>
  <si>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</si>
  <si>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</si>
  <si>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</si>
  <si>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</si>
  <si>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</si>
  <si>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</si>
  <si>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</si>
  <si>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</si>
  <si>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</si>
  <si>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</si>
  <si>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</si>
  <si>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</si>
  <si>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</si>
  <si>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</si>
  <si>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</si>
  <si>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</si>
  <si>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</si>
  <si>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</si>
  <si>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</si>
  <si>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</si>
  <si>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</si>
  <si>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</si>
  <si>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</si>
  <si>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</si>
  <si>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</si>
  <si>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</si>
  <si>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</si>
  <si>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</si>
  <si>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</si>
  <si>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</si>
  <si>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</si>
  <si>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</si>
  <si>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</si>
  <si>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</si>
  <si>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</si>
  <si>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</si>
  <si>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</si>
  <si>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</si>
  <si>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</si>
  <si>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</si>
  <si>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</si>
  <si>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</si>
  <si>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</si>
  <si>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</si>
  <si>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</si>
  <si>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</si>
  <si>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</si>
  <si>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</si>
  <si>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</si>
  <si>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</si>
  <si>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</si>
  <si>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</si>
  <si>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</si>
  <si>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</si>
  <si>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</si>
  <si>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</si>
  <si>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</si>
  <si>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</si>
  <si>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</si>
  <si>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</si>
  <si>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</si>
  <si>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</si>
  <si>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</si>
  <si>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</si>
  <si>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</si>
  <si>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</si>
  <si>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</si>
  <si>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</si>
  <si>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</si>
  <si>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</si>
  <si>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</si>
  <si>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</si>
  <si>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</si>
  <si>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</si>
  <si>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</si>
  <si>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</si>
  <si>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</si>
  <si>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</si>
  <si>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</si>
  <si>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</si>
  <si>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</si>
  <si>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</si>
  <si>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</si>
  <si>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</si>
  <si>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</si>
  <si>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</si>
  <si>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</si>
  <si>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</si>
  <si>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</si>
  <si>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</si>
  <si>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</si>
  <si>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</si>
  <si>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</si>
  <si>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</si>
  <si>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</si>
  <si>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</si>
  <si>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</si>
  <si>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</si>
  <si>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</si>
  <si>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</si>
  <si>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</si>
  <si>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</si>
  <si>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</si>
  <si>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</si>
  <si>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</si>
  <si>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</si>
  <si>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</si>
  <si>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</si>
  <si>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</si>
  <si>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</si>
  <si>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</si>
  <si>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</si>
  <si>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</si>
  <si>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</si>
  <si>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</si>
  <si>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</si>
  <si>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</si>
  <si>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</si>
  <si>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</si>
  <si>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</si>
  <si>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</si>
  <si>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</si>
  <si>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</si>
  <si>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</si>
  <si>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</si>
  <si>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</si>
  <si>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</si>
  <si>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</si>
  <si>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</si>
  <si>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</si>
  <si>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</si>
  <si>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</si>
  <si>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</si>
  <si>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</si>
  <si>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</si>
  <si>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</si>
  <si>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</si>
  <si>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</si>
  <si>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</si>
  <si>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</si>
  <si>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</si>
  <si>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</si>
  <si>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</si>
  <si>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</si>
  <si>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</si>
  <si>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</si>
  <si>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</si>
  <si>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</si>
  <si>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</si>
  <si>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</si>
  <si>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</si>
  <si>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</si>
  <si>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</si>
  <si>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</si>
  <si>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</si>
  <si>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</si>
  <si>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</si>
  <si>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</si>
  <si>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</si>
  <si>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</si>
  <si>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</si>
  <si>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</si>
  <si>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</si>
  <si>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</si>
  <si>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</si>
  <si>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</si>
  <si>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</si>
  <si>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</si>
  <si>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</si>
  <si>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</si>
  <si>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</si>
  <si>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</si>
  <si>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</si>
  <si>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</si>
  <si>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</si>
  <si>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</si>
  <si>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</si>
  <si>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</si>
  <si>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</si>
  <si>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</si>
  <si>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</si>
  <si>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</si>
  <si>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</si>
  <si>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</si>
  <si>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</si>
  <si>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</si>
  <si>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</si>
  <si>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</si>
  <si>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</si>
  <si>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</si>
  <si>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</si>
  <si>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</si>
  <si>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</si>
  <si>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</si>
  <si>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</si>
  <si>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</si>
  <si>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</si>
  <si>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</si>
  <si>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</si>
  <si>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</si>
  <si>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</si>
  <si>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</si>
  <si>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</si>
  <si>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</si>
  <si>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</si>
  <si>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</si>
  <si>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</si>
  <si>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</si>
  <si>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</si>
  <si>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</si>
  <si>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</si>
  <si>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</si>
  <si>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</si>
  <si>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</si>
  <si>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</si>
  <si>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</si>
  <si>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</si>
  <si>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</si>
  <si>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</si>
  <si>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</si>
  <si>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</si>
  <si>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</si>
  <si>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</si>
  <si>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</si>
  <si>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</si>
  <si>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</si>
  <si>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</si>
  <si>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</si>
  <si>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</si>
  <si>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</si>
  <si>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</si>
  <si>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</si>
  <si>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</si>
  <si>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</si>
  <si>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</si>
  <si>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</si>
  <si>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</si>
  <si>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</si>
  <si>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</si>
  <si>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</si>
  <si>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</si>
  <si>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</si>
  <si>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</si>
  <si>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</si>
  <si>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</si>
  <si>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</si>
  <si>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</si>
  <si>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</si>
  <si>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</si>
  <si>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</si>
  <si>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</si>
  <si>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</si>
  <si>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</si>
  <si>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</si>
  <si>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</si>
  <si>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</si>
  <si>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</si>
  <si>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</si>
  <si>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</si>
  <si>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</si>
  <si>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</si>
  <si>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</si>
  <si>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</si>
  <si>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</si>
  <si>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</si>
  <si>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</si>
  <si>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</si>
  <si>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</si>
  <si>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</si>
  <si>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</si>
  <si>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</si>
  <si>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</si>
  <si>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</si>
  <si>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</si>
  <si>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</si>
  <si>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</si>
  <si>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</si>
  <si>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</si>
  <si>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</si>
  <si>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</si>
  <si>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</si>
  <si>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</si>
  <si>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</si>
  <si>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</si>
  <si>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</si>
  <si>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</si>
  <si>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</si>
  <si>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</si>
  <si>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</si>
  <si>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</si>
  <si>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</si>
  <si>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</si>
  <si>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</si>
  <si>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</si>
  <si>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</si>
  <si>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</si>
  <si>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</si>
  <si>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</si>
  <si>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</si>
  <si>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</si>
  <si>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</si>
  <si>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</si>
  <si>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</si>
  <si>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</si>
  <si>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</si>
  <si>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</si>
  <si>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</si>
  <si>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</si>
  <si>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</si>
  <si>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</si>
  <si>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</si>
  <si>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</si>
  <si>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</si>
  <si>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</si>
  <si>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</si>
  <si>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</si>
  <si>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</si>
  <si>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</si>
  <si>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</si>
  <si>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</si>
  <si>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</si>
  <si>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</si>
  <si>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</si>
  <si>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</si>
  <si>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</si>
  <si>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</si>
  <si>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</si>
  <si>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</si>
  <si>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</si>
  <si>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</si>
  <si>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</si>
  <si>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</si>
  <si>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</si>
  <si>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</si>
  <si>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</si>
  <si>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</si>
  <si>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</si>
  <si>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</si>
  <si>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</si>
  <si>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</si>
  <si>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</si>
  <si>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</si>
  <si>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</si>
  <si>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</si>
  <si>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</si>
  <si>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</si>
  <si>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</si>
  <si>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</si>
  <si>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</si>
  <si>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</si>
  <si>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</si>
  <si>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</si>
  <si>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</si>
  <si>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</si>
  <si>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</si>
  <si>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</si>
  <si>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</si>
  <si>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</si>
  <si>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</si>
  <si>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</si>
  <si>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</si>
  <si>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</si>
  <si>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</si>
  <si>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</si>
  <si>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</si>
  <si>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</si>
  <si>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</si>
  <si>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</si>
  <si>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</si>
  <si>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</si>
  <si>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</si>
  <si>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</si>
  <si>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</si>
  <si>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</si>
  <si>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</si>
  <si>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</si>
  <si>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</si>
  <si>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</si>
  <si>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</si>
  <si>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</si>
  <si>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</si>
  <si>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</si>
  <si>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</si>
  <si>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</si>
  <si>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</si>
  <si>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</si>
  <si>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</si>
  <si>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</si>
  <si>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</si>
  <si>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</si>
  <si>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</si>
  <si>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</si>
  <si>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</si>
  <si>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</si>
  <si>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</si>
  <si>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</si>
  <si>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</si>
  <si>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</si>
  <si>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</si>
  <si>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</si>
  <si>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</si>
  <si>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</si>
  <si>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</si>
  <si>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</si>
  <si>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</si>
  <si>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</si>
  <si>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</si>
  <si>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</si>
  <si>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</si>
  <si>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</si>
  <si>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</si>
  <si>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</si>
  <si>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</si>
  <si>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</si>
  <si>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</si>
  <si>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</si>
  <si>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</si>
  <si>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</si>
  <si>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</si>
  <si>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</si>
  <si>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</si>
  <si>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</si>
  <si>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</si>
  <si>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</si>
  <si>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</si>
  <si>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</si>
  <si>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</si>
  <si>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</si>
  <si>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</si>
  <si>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</si>
  <si>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</si>
  <si>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</si>
  <si>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</si>
  <si>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</si>
  <si>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</si>
  <si>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</si>
  <si>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</si>
  <si>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</si>
  <si>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</si>
  <si>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</si>
  <si>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</si>
  <si>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</si>
  <si>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</si>
  <si>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</si>
  <si>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</si>
  <si>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</si>
  <si>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</si>
  <si>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</si>
  <si>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</si>
  <si>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</si>
  <si>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</si>
  <si>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</si>
  <si>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</si>
  <si>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</si>
  <si>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</si>
  <si>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</si>
  <si>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</si>
  <si>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</si>
  <si>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</si>
  <si>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</si>
  <si>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</si>
  <si>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</si>
  <si>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</si>
  <si>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</si>
  <si>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</si>
  <si>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</si>
  <si>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</si>
  <si>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</si>
  <si>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</si>
  <si>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</si>
  <si>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</si>
  <si>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</si>
  <si>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</si>
  <si>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</si>
  <si>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</si>
  <si>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</si>
  <si>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</si>
  <si>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</si>
  <si>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</si>
  <si>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</si>
  <si>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</si>
  <si>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</si>
  <si>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</si>
  <si>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</si>
  <si>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</si>
  <si>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</si>
  <si>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</si>
  <si>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</si>
  <si>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</si>
  <si>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</si>
  <si>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</si>
  <si>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</si>
  <si>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</si>
  <si>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</si>
  <si>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</si>
  <si>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31096</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</si>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</sst>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159</v>
      </c>
    </row>
    <row r="13" spans="1:6" x14ac:dyDescent="0.2">
      <c r="B13" s="238" t="s">
        <v>50</v>
      </c>
      <c r="C13" s="384" t="s">
        <v>192</v>
      </c>
    </row>
    <row r="14" spans="1:6" x14ac:dyDescent="0.2">
      <c r="B14" s="238" t="s">
        <v>51</v>
      </c>
      <c r="C14" s="384" t="s">
        <v>499</v>
      </c>
    </row>
    <row r="15" spans="1:6" x14ac:dyDescent="0.2">
      <c r="B15" s="238" t="s">
        <v>217</v>
      </c>
      <c r="C15" s="384" t="s">
        <v>135</v>
      </c>
    </row>
    <row r="16" spans="1:6" x14ac:dyDescent="0.2">
      <c r="B16" s="239" t="s">
        <v>219</v>
      </c>
      <c r="C16" s="386" t="s">
        <v>133</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0</v>
      </c>
      <c r="E5" s="112">
        <f>SUM('Pt 2 Premium and Claims'!E$5,'Pt 2 Premium and Claims'!E$6,-'Pt 2 Premium and Claims'!E$7,-'Pt 2 Premium and Claims'!E$13,'Pt 2 Premium and Claims'!E$14:'Pt 2 Premium and Claims'!E$17)</f>
        <v>0</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0</v>
      </c>
      <c r="J5" s="111">
        <f>SUM('Pt 2 Premium and Claims'!J$5,'Pt 2 Premium and Claims'!J$6,-'Pt 2 Premium and Claims'!J$7,-'Pt 2 Premium and Claims'!J$13,'Pt 2 Premium and Claims'!J$14,'Pt 2 Premium and Claims'!J$16:'Pt 2 Premium and Claims'!J$17)</f>
        <v>0</v>
      </c>
      <c r="K5" s="112">
        <f>SUM('Pt 2 Premium and Claims'!K$5,'Pt 2 Premium and Claims'!K$6,-'Pt 2 Premium and Claims'!K$7,-'Pt 2 Premium and Claims'!K$13,'Pt 2 Premium and Claims'!K$14,'Pt 2 Premium and Claims'!K$16:'Pt 2 Premium and Claims'!K$17)</f>
        <v>0</v>
      </c>
      <c r="L5" s="112">
        <f>SUM('Pt 2 Premium and Claims'!L$5,'Pt 2 Premium and Claims'!L$6,-'Pt 2 Premium and Claims'!L$7,-'Pt 2 Premium and Claims'!L$13,'Pt 2 Premium and Claims'!L$14,'Pt 2 Premium and Claims'!L$16:'Pt 2 Premium and Claims'!L$17)</f>
        <v>0</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0</v>
      </c>
      <c r="Q5" s="112">
        <f>SUM('Pt 2 Premium and Claims'!Q$5,'Pt 2 Premium and Claims'!Q$6,-'Pt 2 Premium and Claims'!Q$7,-'Pt 2 Premium and Claims'!Q$13,'Pt 2 Premium and Claims'!Q$14)</f>
        <v>0</v>
      </c>
      <c r="R5" s="112">
        <f>SUM('Pt 2 Premium and Claims'!R$5,'Pt 2 Premium and Claims'!R$6,-'Pt 2 Premium and Claims'!R$7,-'Pt 2 Premium and Claims'!R$13,'Pt 2 Premium and Claims'!R$14)</f>
        <v>0</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c r="AO5" s="112"/>
      <c r="AP5" s="112"/>
      <c r="AQ5" s="112"/>
      <c r="AR5" s="112"/>
      <c r="AS5" s="111">
        <f>SUM('Pt 2 Premium and Claims'!AS$5,'Pt 2 Premium and Claims'!AS$6,-'Pt 2 Premium and Claims'!AS$7,-'Pt 2 Premium and Claims'!AS$13,'Pt 2 Premium and Claims'!AS$14)</f>
        <v>67689208</v>
      </c>
      <c r="AT5" s="113">
        <f>SUM('Pt 2 Premium and Claims'!AT$5,'Pt 2 Premium and Claims'!AT$6,-'Pt 2 Premium and Claims'!AT$7,-'Pt 2 Premium and Claims'!AT$13,'Pt 2 Premium and Claims'!AT$14)</f>
        <v>10730859</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87381</v>
      </c>
      <c r="AT8" s="119">
        <v>2020</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0</v>
      </c>
      <c r="E12" s="112">
        <f>'Pt 2 Premium and Claims'!E$54</f>
        <v>0</v>
      </c>
      <c r="F12" s="112">
        <f>'Pt 2 Premium and Claims'!F$54</f>
        <v>0</v>
      </c>
      <c r="G12" s="112">
        <f>'Pt 2 Premium and Claims'!G$54</f>
        <v>0</v>
      </c>
      <c r="H12" s="112">
        <f>'Pt 2 Premium and Claims'!H$54</f>
        <v>0</v>
      </c>
      <c r="I12" s="111">
        <f>'Pt 2 Premium and Claims'!I$54</f>
        <v>0</v>
      </c>
      <c r="J12" s="111">
        <f>'Pt 2 Premium and Claims'!J$54</f>
        <v>0</v>
      </c>
      <c r="K12" s="112">
        <f>'Pt 2 Premium and Claims'!K$54</f>
        <v>0</v>
      </c>
      <c r="L12" s="112">
        <f>'Pt 2 Premium and Claims'!L$54</f>
        <v>0</v>
      </c>
      <c r="M12" s="112">
        <f>'Pt 2 Premium and Claims'!M$54</f>
        <v>0</v>
      </c>
      <c r="N12" s="112">
        <f>'Pt 2 Premium and Claims'!N$54</f>
        <v>0</v>
      </c>
      <c r="O12" s="111">
        <f>'Pt 2 Premium and Claims'!O$54</f>
        <v>0</v>
      </c>
      <c r="P12" s="111">
        <f>'Pt 2 Premium and Claims'!P$54</f>
        <v>0</v>
      </c>
      <c r="Q12" s="112">
        <f>'Pt 2 Premium and Claims'!Q$54</f>
        <v>0</v>
      </c>
      <c r="R12" s="112">
        <f>'Pt 2 Premium and Claims'!R$54</f>
        <v>0</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c r="AO12" s="112"/>
      <c r="AP12" s="112"/>
      <c r="AQ12" s="112"/>
      <c r="AR12" s="112"/>
      <c r="AS12" s="111">
        <f>'Pt 2 Premium and Claims'!AS$54</f>
        <v>53633947</v>
      </c>
      <c r="AT12" s="113">
        <f>'Pt 2 Premium and Claims'!AT$54</f>
        <v>8172576</v>
      </c>
      <c r="AU12" s="113">
        <f>'Pt 2 Premium and Claims'!AU$54</f>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76541894</v>
      </c>
      <c r="AT13" s="119">
        <v>-5809</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20259509</v>
      </c>
      <c r="AT14" s="119">
        <v>-178</v>
      </c>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2031.0000000000002</v>
      </c>
      <c r="AT15" s="119">
        <v>372</v>
      </c>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23463</v>
      </c>
      <c r="AT16" s="119">
        <v>-3828</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-355130</v>
      </c>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0</v>
      </c>
      <c r="E22" s="121">
        <f>'Pt 2 Premium and Claims'!E$55</f>
        <v>0</v>
      </c>
      <c r="F22" s="121">
        <f>'Pt 2 Premium and Claims'!F$55</f>
        <v>0</v>
      </c>
      <c r="G22" s="121">
        <f>'Pt 2 Premium and Claims'!G$55</f>
        <v>0</v>
      </c>
      <c r="H22" s="121">
        <f>'Pt 2 Premium and Claims'!H$55</f>
        <v>0</v>
      </c>
      <c r="I22" s="120">
        <f>'Pt 2 Premium and Claims'!I$55</f>
        <v>0</v>
      </c>
      <c r="J22" s="120">
        <f>'Pt 2 Premium and Claims'!J$55</f>
        <v>0</v>
      </c>
      <c r="K22" s="121">
        <f>'Pt 2 Premium and Claims'!K$55</f>
        <v>0</v>
      </c>
      <c r="L22" s="121">
        <f>'Pt 2 Premium and Claims'!L$55</f>
        <v>0</v>
      </c>
      <c r="M22" s="121">
        <f>'Pt 2 Premium and Claims'!M$55</f>
        <v>0</v>
      </c>
      <c r="N22" s="121">
        <f>'Pt 2 Premium and Claims'!N$55</f>
        <v>0</v>
      </c>
      <c r="O22" s="120">
        <f>'Pt 2 Premium and Claims'!O$55</f>
        <v>0</v>
      </c>
      <c r="P22" s="120">
        <f>'Pt 2 Premium and Claims'!P$55</f>
        <v>0</v>
      </c>
      <c r="Q22" s="121">
        <f>'Pt 2 Premium and Claims'!Q$55</f>
        <v>0</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1448763.2830000001</v>
      </c>
      <c r="AT25" s="119">
        <v>-299156.6348</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873426.68</v>
      </c>
      <c r="AT27" s="119">
        <v>7883.84</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4910.8999999999996</v>
      </c>
      <c r="AT28" s="119">
        <v>1459.2000000000003</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115499.50024000001</v>
      </c>
      <c r="AT30" s="119">
        <v>-16899.048750000002</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248333.43</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44293.31</v>
      </c>
      <c r="AT35" s="119">
        <v>13342.079999999998</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175840</v>
      </c>
      <c r="AT37" s="125">
        <v>527</v>
      </c>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10068</v>
      </c>
      <c r="AT38" s="119">
        <v>-1</v>
      </c>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193792</v>
      </c>
      <c r="AT39" s="119">
        <v>3871</v>
      </c>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11094</v>
      </c>
      <c r="AT40" s="119">
        <v>59816</v>
      </c>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550268</v>
      </c>
      <c r="AT41" s="119">
        <v>13886</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1026771.9999999999</v>
      </c>
      <c r="AT44" s="125">
        <v>203470</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1330570</v>
      </c>
      <c r="AT45" s="119">
        <v>120876</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719204</v>
      </c>
      <c r="AT46" s="119">
        <v>374409</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141408</v>
      </c>
      <c r="AT47" s="119">
        <v>1278991</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243944.35976000002</v>
      </c>
      <c r="AT49" s="119">
        <v>49056.918749999997</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2449.3399999999997</v>
      </c>
      <c r="AT50" s="119">
        <v>712.12000000000012</v>
      </c>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5061706</v>
      </c>
      <c r="AT51" s="119">
        <v>1176200</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80529</v>
      </c>
      <c r="AT56" s="129">
        <v>5214</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80529</v>
      </c>
      <c r="AT57" s="132">
        <v>11735</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1</v>
      </c>
      <c r="AT58" s="132">
        <v>128</v>
      </c>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952230</v>
      </c>
      <c r="AT59" s="132">
        <v>135630</v>
      </c>
      <c r="AU59" s="132"/>
      <c r="AV59" s="132"/>
      <c r="AW59" s="316"/>
    </row>
    <row r="60" spans="2:49" x14ac:dyDescent="0.2">
      <c r="B60" s="167" t="s">
        <v>276</v>
      </c>
      <c r="C60" s="68"/>
      <c r="D60" s="133">
        <f>D$59/12</f>
        <v>0</v>
      </c>
      <c r="E60" s="134">
        <f>E$59/12</f>
        <v>0</v>
      </c>
      <c r="F60" s="134">
        <f>F$59/12</f>
        <v>0</v>
      </c>
      <c r="G60" s="134">
        <f>G$59/12</f>
        <v>0</v>
      </c>
      <c r="H60" s="134">
        <f>H$59/12</f>
        <v>0</v>
      </c>
      <c r="I60" s="133">
        <f>I$59/12</f>
        <v>0</v>
      </c>
      <c r="J60" s="133">
        <f>J$59/12</f>
        <v>0</v>
      </c>
      <c r="K60" s="134">
        <f>K$59/12</f>
        <v>0</v>
      </c>
      <c r="L60" s="134">
        <f>L$59/12</f>
        <v>0</v>
      </c>
      <c r="M60" s="134">
        <f>M$59/12</f>
        <v>0</v>
      </c>
      <c r="N60" s="134">
        <f>N$59/12</f>
        <v>0</v>
      </c>
      <c r="O60" s="133">
        <f>O$59/12</f>
        <v>0</v>
      </c>
      <c r="P60" s="133">
        <f>P$59/12</f>
        <v>0</v>
      </c>
      <c r="Q60" s="134">
        <f>Q$59/12</f>
        <v>0</v>
      </c>
      <c r="R60" s="134">
        <f>R$59/12</f>
        <v>0</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c r="AO60" s="134"/>
      <c r="AP60" s="134"/>
      <c r="AQ60" s="134"/>
      <c r="AR60" s="134"/>
      <c r="AS60" s="133">
        <f>AS$59/12</f>
        <v>79352.5</v>
      </c>
      <c r="AT60" s="135">
        <f>AT$59/12</f>
        <v>11302.5</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67689208</v>
      </c>
      <c r="AT5" s="125">
        <v>10729999</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6730</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5870</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-3817164</v>
      </c>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-875520</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87381</v>
      </c>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2020</v>
      </c>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57575935</v>
      </c>
      <c r="AT23" s="119">
        <v>8120854</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1350764</v>
      </c>
      <c r="AT26" s="119">
        <v>1364444</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744359</v>
      </c>
      <c r="AT28" s="119">
        <v>1311184</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19077</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19789</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236675</v>
      </c>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-3817164</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-875520</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5183739</v>
      </c>
      <c r="AT49" s="119">
        <v>790</v>
      </c>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3340315</v>
      </c>
      <c r="AT50" s="119">
        <v>-36.000000000000007</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0</v>
      </c>
      <c r="E54" s="121">
        <f>E24+E27+E31+E35-E36+E39+E42+E45+E46-E49+E51+E52+E53</f>
        <v>0</v>
      </c>
      <c r="F54" s="121">
        <f>F24+F27+F31+F35-F36+F39+F42+F45+F46-F49+F51+F52+F53</f>
        <v>0</v>
      </c>
      <c r="G54" s="121">
        <f>G24+G27+G31+G35-G36+G39+G42+G45+G46-G49+G51+G52+G53</f>
        <v>0</v>
      </c>
      <c r="H54" s="121">
        <f>H24+H27+H31+H35-H36+H39+H42+H45+H46-H49+H51+H52+H53</f>
        <v>0</v>
      </c>
      <c r="I54" s="120">
        <f>I24+I27+I31+I35-I36+I39+I42+I45+I46-I49+I51+I52+I53</f>
        <v>0</v>
      </c>
      <c r="J54" s="120">
        <f>J23+J26-J28+J30-J32+J34-J36+J38+J41-J43+J45+J46-J47-J49+J50+J51+J52+J53</f>
        <v>0</v>
      </c>
      <c r="K54" s="121">
        <f>K24+K27+K31+K35-K36+K39+K42+K45+K46-K49+K51+K52+K53</f>
        <v>0</v>
      </c>
      <c r="L54" s="121">
        <f>L24+L27+L31+L35-L36+L39+L42+L45+L46-L49+L51+L52+L53</f>
        <v>0</v>
      </c>
      <c r="M54" s="121">
        <f>M24+M27+M31+M35-M36+M39+M42+M45+M46-M49+M51+M52+M53</f>
        <v>0</v>
      </c>
      <c r="N54" s="121">
        <f>N24+N27+N31+N35-N36+N39+N42+N45+N46-N49+N51+N52+N53</f>
        <v>0</v>
      </c>
      <c r="O54" s="120">
        <f>O24+O27+O31+O35-O36+O39+O42+O45+O46-O49+O51+O52+O53</f>
        <v>0</v>
      </c>
      <c r="P54" s="120">
        <f>P23+P26-P28+P30-P32+P34-P36+P38+P41-P43+P45+P46-P47-P49+P50+P51+P52+P53</f>
        <v>0</v>
      </c>
      <c r="Q54" s="121">
        <f>Q24+Q27+Q31+Q35-Q36+Q39+Q42+Q45+Q46-Q49+Q51+Q52+Q53</f>
        <v>0</v>
      </c>
      <c r="R54" s="121">
        <f>R24+R27+R31+R35-R36+R39+R42+R45+R46-R49+R51+R52+R53</f>
        <v>0</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53633947</v>
      </c>
      <c r="AT54" s="122">
        <f>AT23+AT26-AT28+AT30-AT32+AT34-AT36+AT38+AT41-AT43+AT45+AT46-AT47-AT49+AT50+AT51+AT52+AT53</f>
        <v>8172576</v>
      </c>
      <c r="AU54" s="122">
        <f>AU23+AU26-AU28+AU30-AU32+AU34-AU36+AU38+AU41-AU43+AU45+AU46-AU47-AU49+AU50+AU51+AU52+AU53</f>
        <v>0</v>
      </c>
      <c r="AV54" s="317"/>
      <c r="AW54" s="324"/>
    </row>
    <row r="55" spans="2:49" ht="25.5" x14ac:dyDescent="0.2">
      <c r="B55" s="187" t="s">
        <v>304</v>
      </c>
      <c r="C55" s="143" t="s">
        <v>28</v>
      </c>
      <c r="D55" s="120">
        <f>MIN(MAX(0,D56),MAX(0,D57))</f>
        <v>0</v>
      </c>
      <c r="E55" s="121">
        <f>MIN(MAX(0,E56),MAX(0,E57))</f>
        <v>0</v>
      </c>
      <c r="F55" s="121">
        <f>MIN(MAX(0,F56),MAX(0,F57))</f>
        <v>0</v>
      </c>
      <c r="G55" s="121">
        <f>MIN(MAX(0,G56),MAX(0,G57))</f>
        <v>0</v>
      </c>
      <c r="H55" s="121">
        <f>MIN(MAX(0,H56),MAX(0,H57))</f>
        <v>0</v>
      </c>
      <c r="I55" s="120">
        <f>MIN(MAX(0,I56),MAX(0,I57))</f>
        <v>0</v>
      </c>
      <c r="J55" s="120">
        <f>MIN(MAX(0,J56),MAX(0,J57))</f>
        <v>0</v>
      </c>
      <c r="K55" s="121">
        <f>MIN(MAX(0,K56),MAX(0,K57))</f>
        <v>0</v>
      </c>
      <c r="L55" s="121">
        <f>MIN(MAX(0,L56),MAX(0,L57))</f>
        <v>0</v>
      </c>
      <c r="M55" s="121">
        <f>MIN(MAX(0,M56),MAX(0,M57))</f>
        <v>0</v>
      </c>
      <c r="N55" s="121">
        <f>MIN(MAX(0,N56),MAX(0,N57))</f>
        <v>0</v>
      </c>
      <c r="O55" s="120">
        <f>MIN(MAX(0,O56),MAX(0,O57))</f>
        <v>0</v>
      </c>
      <c r="P55" s="120">
        <f>MIN(MAX(0,P56),MAX(0,P57))</f>
        <v>0</v>
      </c>
      <c r="Q55" s="121">
        <f>MIN(MAX(0,Q56),MAX(0,Q57))</f>
        <v>0</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c r="AO55" s="121"/>
      <c r="AP55" s="121"/>
      <c r="AQ55" s="121"/>
      <c r="AR55" s="121"/>
      <c r="AS55" s="120">
        <f>MIN(MAX(0,AS56),MAX(0,AS57))</f>
        <v>0</v>
      </c>
      <c r="AT55" s="122">
        <f>MIN(MAX(0,AT56),MAX(0,AT57))</f>
        <v>0</v>
      </c>
      <c r="AU55" s="122">
        <f>MIN(MAX(0,AU56),MAX(0,AU57))</f>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2646</v>
      </c>
      <c r="AT57" s="119">
        <v>1228</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f>SUM('Pt 1 Summary of Data'!E$12,'Pt 1 Summary of Data'!E$22)+SUM('Pt 1 Summary of Data'!G$12,'Pt 1 Summary of Data'!G$22)-SUM('Pt 1 Summary of Data'!H$12,'Pt 1 Summary of Data'!H$22)</f>
        <v>0</v>
      </c>
      <c r="F6" s="121">
        <f>SUM(C6:E6)</f>
        <v>0</v>
      </c>
      <c r="G6" s="122">
        <f>SUM('Pt 1 Summary of Data'!I$12,'Pt 1 Summary of Data'!I$22)</f>
        <v>0</v>
      </c>
      <c r="H6" s="115"/>
      <c r="I6" s="116"/>
      <c r="J6" s="121">
        <f>SUM('Pt 1 Summary of Data'!K$12,'Pt 1 Summary of Data'!K$22)+SUM('Pt 1 Summary of Data'!M$12,'Pt 1 Summary of Data'!M$22)-SUM('Pt 1 Summary of Data'!N$12,'Pt 1 Summary of Data'!N$22)</f>
        <v>0</v>
      </c>
      <c r="K6" s="121">
        <f>SUM(H6:J6)</f>
        <v>0</v>
      </c>
      <c r="L6" s="122">
        <f>SUM('Pt 1 Summary of Data'!O$12,'Pt 1 Summary of Data'!O$22)</f>
        <v>0</v>
      </c>
      <c r="M6" s="115"/>
      <c r="N6" s="116"/>
      <c r="O6" s="121">
        <f>SUM('Pt 1 Summary of Data'!Q$12,'Pt 1 Summary of Data'!Q$22)+SUM('Pt 1 Summary of Data'!S$12,'Pt 1 Summary of Data'!S$22)-SUM('Pt 1 Summary of Data'!T$12,'Pt 1 Summary of Data'!T$22)</f>
        <v>0</v>
      </c>
      <c r="P6" s="121">
        <f>SUM(M6:O6)</f>
        <v>0</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c r="D7" s="116"/>
      <c r="E7" s="121">
        <f>SUM('Pt 1 Summary of Data'!E$37:E$41)+SUM('Pt 1 Summary of Data'!G$37:G$41)-SUM('Pt 1 Summary of Data'!H$37:H$41)+MAX(0,MIN('Pt 1 Summary of Data'!E$42+'Pt 1 Summary of Data'!G$42-'Pt 1 Summary of Data'!H$42,0.3%*('Pt 1 Summary of Data'!E$5+'Pt 1 Summary of Data'!G$5-'Pt 1 Summary of Data'!H$5-SUM(E$9:E$11))))</f>
        <v>0</v>
      </c>
      <c r="F7" s="121">
        <f>SUM(C7:E7)</f>
        <v>0</v>
      </c>
      <c r="G7" s="122">
        <f>SUM('Pt 1 Summary of Data'!I$37:I$41)+MAX(0,MIN('Pt 1 Summary of Data'!I$42,0.3%*('Pt 1 Summary of Data'!I$5-SUM(G$9:G$10))))</f>
        <v>0</v>
      </c>
      <c r="H7" s="115"/>
      <c r="I7" s="116"/>
      <c r="J7" s="121">
        <f>SUM('Pt 1 Summary of Data'!K$37:K$41)+SUM('Pt 1 Summary of Data'!M$37:M$41)-SUM('Pt 1 Summary of Data'!N$37:N$41)+MAX(0,MIN('Pt 1 Summary of Data'!K$42+'Pt 1 Summary of Data'!M$42-'Pt 1 Summary of Data'!N$42,0.3%*('Pt 1 Summary of Data'!K$5+'Pt 1 Summary of Data'!M$5-'Pt 1 Summary of Data'!N$5-SUM(J$10:J$11))))</f>
        <v>0</v>
      </c>
      <c r="K7" s="121">
        <f>SUM(H7:J7)</f>
        <v>0</v>
      </c>
      <c r="L7" s="122">
        <f>SUM('Pt 1 Summary of Data'!O$37:O$41)+MAX(0,MIN('Pt 1 Summary of Data'!O$42,0.3%*('Pt 1 Summary of Data'!O$5-L$10)))</f>
        <v>0</v>
      </c>
      <c r="M7" s="115"/>
      <c r="N7" s="116"/>
      <c r="O7" s="121">
        <f>SUM('Pt 1 Summary of Data'!Q$37:Q$41)+SUM('Pt 1 Summary of Data'!S$37:S$41)-SUM('Pt 1 Summary of Data'!T$37:T$41)+MAX(0,MIN('Pt 1 Summary of Data'!Q$42+'Pt 1 Summary of Data'!S$42-'Pt 1 Summary of Data'!T$42,0.3%*('Pt 1 Summary of Data'!Q$5+'Pt 1 Summary of Data'!S$5-'Pt 1 Summary of Data'!T$5)))</f>
        <v>0</v>
      </c>
      <c r="P7" s="121">
        <f>SUM(M7:O7)</f>
        <v>0</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c r="F8" s="275">
        <f>SUM(C8:E8)</f>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SUM(C9:E9)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SUM(C10:E10)</f>
        <v>0</v>
      </c>
      <c r="G10" s="122">
        <f>'Pt 2 Premium and Claims'!I$16</f>
        <v>0</v>
      </c>
      <c r="H10" s="298"/>
      <c r="I10" s="294"/>
      <c r="J10" s="121">
        <f>'Pt 2 Premium and Claims'!K$16+'Pt 2 Premium and Claims'!M$16-'Pt 2 Premium and Claims'!N$16</f>
        <v>0</v>
      </c>
      <c r="K10" s="121">
        <f>SUM(H10:J10)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SUM(C11:E11)</f>
        <v>0</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0</v>
      </c>
      <c r="D12" s="121">
        <f>SUM(D$6:D$7)+IF(AND(OR('Company Information'!$C$12="District of Columbia",'Company Information'!$C$12="Massachusetts",'Company Information'!$C$12="Vermont"),SUM($C$6:$F$11,$C$15:$F$16,$C$37:$D$37)&lt;&gt;0),SUM(I$6:I$7),0)</f>
        <v>0</v>
      </c>
      <c r="E12" s="121">
        <f>SUM(E$6:E$7)-SUM(E$8:E$11)+IF(AND(OR('Company Information'!$C$12="District of Columbia",'Company Information'!$C$12="Massachusetts",'Company Information'!$C$12="Vermont"),SUM($C$6:$F$11,$C$15:$F$16,$C$37:$D$37)&lt;&gt;0),SUM(J$6:J$7)-SUM(J$10:J$11),0)</f>
        <v>0</v>
      </c>
      <c r="F12" s="121">
        <f>IFERROR(SUM(C$12:E$12)+C$17*MAX(0,E$49-C$49)+D$17*MAX(0,E$49-D$49),0)</f>
        <v>0</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0</v>
      </c>
      <c r="N12" s="121">
        <f>SUM(N$6:N$7)</f>
        <v>0</v>
      </c>
      <c r="O12" s="121">
        <f>SUM(O$6:O$7)</f>
        <v>0</v>
      </c>
      <c r="P12" s="121">
        <f>SUM(M$12:O$12)+M$17*MAX(0,O$49-M$49)+N$17*MAX(0,O$49-N$49)</f>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f>SUM('Pt 1 Summary of Data'!E$5:E$7)+SUM('Pt 1 Summary of Data'!G$5:G$7)-SUM('Pt 1 Summary of Data'!H$5:H$7)-SUM(E$9:E$11)+D$55</f>
        <v>0</v>
      </c>
      <c r="F15" s="112">
        <f>SUM(C15:E15)</f>
        <v>0</v>
      </c>
      <c r="G15" s="113">
        <f>SUM('Pt 1 Summary of Data'!I$5:I$7)-SUM(G$9:G$10)</f>
        <v>0</v>
      </c>
      <c r="H15" s="123"/>
      <c r="I15" s="124"/>
      <c r="J15" s="112">
        <f>SUM('Pt 1 Summary of Data'!K$5:K$7)+SUM('Pt 1 Summary of Data'!M$5:M$7)-SUM('Pt 1 Summary of Data'!N$5:N$7)-SUM(J$10:J$11)+I$55</f>
        <v>0</v>
      </c>
      <c r="K15" s="112">
        <f>SUM(H15:J15)</f>
        <v>0</v>
      </c>
      <c r="L15" s="113">
        <f>SUM('Pt 1 Summary of Data'!O$5:O$7)-L$10</f>
        <v>0</v>
      </c>
      <c r="M15" s="123"/>
      <c r="N15" s="124"/>
      <c r="O15" s="112">
        <f>SUM('Pt 1 Summary of Data'!Q$5:Q$7)+SUM('Pt 1 Summary of Data'!S$5:S$7)-SUM('Pt 1 Summary of Data'!T$5:T$7)+N$55</f>
        <v>0</v>
      </c>
      <c r="P15" s="112">
        <f>SUM(M15:O15)</f>
        <v>0</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c r="D16" s="116"/>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21">
        <f>SUM(C16:E16)</f>
        <v>0</v>
      </c>
      <c r="G16" s="122">
        <f>SUM('Pt 1 Summary of Data'!I$25:I$28,'Pt 1 Summary of Data'!I$30,'Pt 1 Summary of Data'!I$34:I$35)+IF('Company Information'!$C$15="No",IF(MAX('Pt 1 Summary of Data'!I$31:I$32)=0,MIN('Pt 1 Summary of Data'!I$31:I$32),MAX('Pt 1 Summary of Data'!I$31:I$32)),SUM('Pt 1 Summary of Data'!I$31:I$32))</f>
        <v>0</v>
      </c>
      <c r="H16" s="115"/>
      <c r="I16" s="116"/>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21">
        <f>SUM(H16:J16)</f>
        <v>0</v>
      </c>
      <c r="L16" s="122">
        <f>SUM('Pt 1 Summary of Data'!O$25:O$28,'Pt 1 Summary of Data'!O$30,'Pt 1 Summary of Data'!O$34:O$35)+IF('Company Information'!$C$15="No",IF(MAX('Pt 1 Summary of Data'!O$31:O$32)=0,MIN('Pt 1 Summary of Data'!O$31:O$32),MAX('Pt 1 Summary of Data'!O$31:O$32)),SUM('Pt 1 Summary of Data'!O$31:O$32))</f>
        <v>0</v>
      </c>
      <c r="M16" s="115"/>
      <c r="N16" s="116"/>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21">
        <f>SUM(M16:O16)</f>
        <v>0</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0</v>
      </c>
      <c r="D17" s="121">
        <f>D$15-D$16+IF(AND(OR('Company Information'!$C$12="District of Columbia",'Company Information'!$C$12="Massachusetts",'Company Information'!$C$12="Vermont"),SUM($C$6:$F$11,$C$15:$F$16,$C$37:$D$37)&lt;&gt;0),I$15-I$16,0)</f>
        <v>0</v>
      </c>
      <c r="E17" s="121">
        <f>E$15-E$16+IF(AND(OR('Company Information'!$C$12="District of Columbia",'Company Information'!$C$12="Massachusetts",'Company Information'!$C$12="Vermont"),SUM($C$6:$F$11,$C$15:$F$16,$C$37:$D$37)&lt;&gt;0),J$15-J$16,0)</f>
        <v>0</v>
      </c>
      <c r="F17" s="121">
        <f>F$15-F$16+IF(AND(OR('Company Information'!$C$12="District of Columbia",'Company Information'!$C$12="Massachusetts",'Company Information'!$C$12="Vermont"),SUM($C$6:$F$11,$C$15:$F$16,$C$37:$D$37)&lt;&gt;0),K$15-K$16,0)</f>
        <v>0</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0</v>
      </c>
      <c r="N17" s="121">
        <f>N$15-N$16</f>
        <v>0</v>
      </c>
      <c r="O17" s="121">
        <f>O$15-O$16</f>
        <v>0</v>
      </c>
      <c r="P17" s="121">
        <f>P$15-P$16</f>
        <v>0</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62">
        <f>SUM(C$37:E$37)+IF(AND(OR('Company Information'!$C$12="District of Columbia",'Company Information'!$C$12="Massachusetts",'Company Information'!$C$12="Vermont"),SUM($C$6:$F$11,$C$15:$F$16,$C$37:$D$37)&lt;&gt;0,SUM(C$37:D$37)&lt;&gt;SUM(H$37:I$37)),SUM(H$37:I$37),0)</f>
        <v>0</v>
      </c>
      <c r="G37" s="318"/>
      <c r="H37" s="127"/>
      <c r="I37" s="128"/>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62">
        <f>SUM(H$37:J$37)+IF(AND(OR('Company Information'!$C$12="District of Columbia",'Company Information'!$C$12="Massachusetts",'Company Information'!$C$12="Vermont"),SUM($H$6:$K$11,$H$15:$K$16,$H$37:$I$37)&lt;&gt;0,SUM(H$37:I$37)&lt;&gt;SUM(C$37:D$37)),SUM(C$37:D$37),0)</f>
        <v>0</v>
      </c>
      <c r="L37" s="318"/>
      <c r="M37" s="127"/>
      <c r="N37" s="128"/>
      <c r="O37" s="262">
        <f>('Pt 1 Summary of Data'!Q$59+'Pt 1 Summary of Data'!S$59-'Pt 1 Summary of Data'!T$59)/12</f>
        <v>0</v>
      </c>
      <c r="P37" s="262">
        <f>SUM(M$37:O$37)</f>
        <v>0</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t="str">
        <f>IF(F$44="","",F$41)</f>
        <v/>
      </c>
      <c r="G46" s="317"/>
      <c r="H46" s="298"/>
      <c r="I46" s="294"/>
      <c r="J46" s="294"/>
      <c r="K46" s="266" t="str">
        <f>IF(K$44="","",K$41)</f>
        <v/>
      </c>
      <c r="L46" s="317"/>
      <c r="M46" s="298"/>
      <c r="N46" s="294"/>
      <c r="O46" s="294"/>
      <c r="P46" s="266" t="str">
        <f>IF(P$44="","",P$41)</f>
        <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f>IF('Company Information'!$C$12="","Please select a State",VLOOKUP('Company Information'!$C$12,'Reference Tables'!$D$3:$J$60,2,FALSE))</f>
        <v>0</v>
      </c>
      <c r="R49" s="147">
        <f>IF('Company Information'!$C$12="","Please select a State",VLOOKUP('Company Information'!$C$12,'Reference Tables'!$D$3:$J$60,4,FALSE))</f>
        <v>0</v>
      </c>
      <c r="S49" s="147">
        <f>IF('Company Information'!$C$12="","Please select a State",VLOOKUP('Company Information'!$C$12,'Reference Tables'!$D$3:$J$60,6,FALSE))</f>
        <v>0</v>
      </c>
      <c r="T49" s="147">
        <f>S$49</f>
        <v>0</v>
      </c>
      <c r="U49" s="146">
        <f>IF('Company Information'!$C$12="","Please select a State",VLOOKUP('Company Information'!$C$12,'Reference Tables'!$D$3:$J$60,3,FALSE))</f>
        <v>2033</v>
      </c>
      <c r="V49" s="147">
        <f>IF('Company Information'!$C$12="","Please select a State",VLOOKUP('Company Information'!$C$12,'Reference Tables'!$D$3:$J$60,5,FALSE))</f>
        <v>0</v>
      </c>
      <c r="W49" s="147">
        <f>IF('Company Information'!$C$12="","Please select a State",VLOOKUP('Company Information'!$C$12,'Reference Tables'!$D$3:$J$60,7,FALSE))</f>
        <v>0</v>
      </c>
      <c r="X49" s="147">
        <f>W$49</f>
        <v>0</v>
      </c>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IF(OR(F$37&lt;1000,F$17&lt;=0),0,MAX(0,F$49-F$50)*F$51)</f>
        <v>0</v>
      </c>
      <c r="G52" s="317"/>
      <c r="H52" s="298"/>
      <c r="I52" s="294"/>
      <c r="J52" s="294"/>
      <c r="K52" s="121">
        <f>IF(OR(K$37&lt;1000,K$17&lt;=0),0,MAX(0,K$49-K$50)*K$51)</f>
        <v>0</v>
      </c>
      <c r="L52" s="317"/>
      <c r="M52" s="298"/>
      <c r="N52" s="294"/>
      <c r="O52" s="294"/>
      <c r="P52" s="121">
        <f>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0</v>
      </c>
      <c r="D4" s="155">
        <f>'Pt 1 Summary of Data'!$K$56+'Pt 1 Summary of Data'!$M$56-'Pt 1 Summary of Data'!$N$56</f>
        <v>0</v>
      </c>
      <c r="E4" s="155">
        <f>'Pt 1 Summary of Data'!$Q$56+'Pt 1 Summary of Data'!$S$56-'Pt 1 Summary of Data'!$T$56</f>
        <v>0</v>
      </c>
      <c r="F4" s="155">
        <f>'Pt 1 Summary of Data'!$V$56</f>
        <v>0</v>
      </c>
      <c r="G4" s="155">
        <f>'Pt 1 Summary of Data'!$Y$56</f>
        <v>0</v>
      </c>
      <c r="H4" s="155">
        <f>'Pt 1 Summary of Data'!$AB$56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2015-07-22T19:32:12Z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