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6" i="18" l="1"/>
  <c r="X49" i="10" l="1"/>
  <c r="W49" i="10"/>
  <c r="V49" i="10"/>
  <c r="U49" i="10"/>
  <c r="T49" i="10"/>
  <c r="S49" i="10"/>
  <c r="R49" i="10"/>
  <c r="Q49" i="10"/>
  <c r="T38" i="10" s="1"/>
  <c r="H11" i="16"/>
  <c r="F11" i="16"/>
  <c r="H4" i="16"/>
  <c r="G4" i="16"/>
  <c r="F4" i="16"/>
  <c r="E4" i="16"/>
  <c r="D4" i="16"/>
  <c r="C4" i="16"/>
  <c r="AB52" i="10"/>
  <c r="X52" i="10"/>
  <c r="G11" i="16" s="1"/>
  <c r="T52" i="10"/>
  <c r="AB51" i="10"/>
  <c r="X51" i="10"/>
  <c r="T51" i="10"/>
  <c r="P51" i="10"/>
  <c r="AB50" i="10"/>
  <c r="AB47" i="10"/>
  <c r="X47" i="10"/>
  <c r="X50" i="10" s="1"/>
  <c r="AB46" i="10"/>
  <c r="AB45" i="10"/>
  <c r="AA45" i="10"/>
  <c r="Z45" i="10"/>
  <c r="AB38" i="10" s="1"/>
  <c r="Y45" i="10"/>
  <c r="X45" i="10"/>
  <c r="X46" i="10" s="1"/>
  <c r="W45" i="10"/>
  <c r="V45" i="10"/>
  <c r="U45" i="10"/>
  <c r="T45" i="10"/>
  <c r="T47" i="10" s="1"/>
  <c r="T50" i="10" s="1"/>
  <c r="S45" i="10"/>
  <c r="R45" i="10"/>
  <c r="Q45" i="10"/>
  <c r="P44" i="10"/>
  <c r="O44" i="10"/>
  <c r="N44" i="10"/>
  <c r="M44" i="10"/>
  <c r="AB41" i="10"/>
  <c r="X41" i="10"/>
  <c r="T41" i="10"/>
  <c r="AB40" i="10"/>
  <c r="X40" i="10"/>
  <c r="T40" i="10"/>
  <c r="P40" i="10"/>
  <c r="K40" i="10"/>
  <c r="F40" i="10"/>
  <c r="P38" i="10"/>
  <c r="AB37" i="10"/>
  <c r="AA37" i="10"/>
  <c r="X37" i="10"/>
  <c r="W37" i="10"/>
  <c r="T37" i="10"/>
  <c r="S37" i="10"/>
  <c r="P37" i="10"/>
  <c r="O37" i="10"/>
  <c r="L29" i="10"/>
  <c r="L28" i="10"/>
  <c r="L25" i="10"/>
  <c r="L21" i="10"/>
  <c r="L20" i="10"/>
  <c r="L19" i="10"/>
  <c r="L24" i="10" s="1"/>
  <c r="L23" i="10" s="1"/>
  <c r="L27" i="10" s="1"/>
  <c r="AB17" i="10"/>
  <c r="AA17" i="10"/>
  <c r="Z17" i="10"/>
  <c r="Y17" i="10"/>
  <c r="X17" i="10"/>
  <c r="W17" i="10"/>
  <c r="V17" i="10"/>
  <c r="U17" i="10"/>
  <c r="T17" i="10"/>
  <c r="S17" i="10"/>
  <c r="R17" i="10"/>
  <c r="Q17" i="10"/>
  <c r="P17" i="10"/>
  <c r="O17" i="10"/>
  <c r="N17" i="10"/>
  <c r="P12" i="10" s="1"/>
  <c r="M17" i="10"/>
  <c r="AB16" i="10"/>
  <c r="AA16" i="10"/>
  <c r="X16" i="10"/>
  <c r="W16" i="10"/>
  <c r="T16" i="10"/>
  <c r="R13" i="10" s="1"/>
  <c r="S16" i="10"/>
  <c r="P16" i="10"/>
  <c r="O16" i="10"/>
  <c r="L16" i="10"/>
  <c r="K16" i="10"/>
  <c r="J16" i="10"/>
  <c r="G16" i="10"/>
  <c r="F16" i="10"/>
  <c r="E16" i="10"/>
  <c r="AB15" i="10"/>
  <c r="AA15" i="10"/>
  <c r="X15" i="10"/>
  <c r="W15" i="10"/>
  <c r="W13" i="10" s="1"/>
  <c r="T15" i="10"/>
  <c r="S15" i="10"/>
  <c r="P15" i="10"/>
  <c r="O15" i="10"/>
  <c r="L15" i="10"/>
  <c r="E15" i="10"/>
  <c r="AB13" i="10"/>
  <c r="AA13" i="10"/>
  <c r="Z13" i="10"/>
  <c r="Y13" i="10"/>
  <c r="V13" i="10"/>
  <c r="U13" i="10"/>
  <c r="S13" i="10"/>
  <c r="O12" i="10"/>
  <c r="N12" i="10"/>
  <c r="M12" i="10"/>
  <c r="K11" i="10"/>
  <c r="J11" i="10"/>
  <c r="F11" i="10"/>
  <c r="E11" i="10"/>
  <c r="L10" i="10"/>
  <c r="J10" i="10"/>
  <c r="K10" i="10" s="1"/>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C55" i="18"/>
  <c r="AB55" i="18"/>
  <c r="AA55" i="18"/>
  <c r="AA22" i="4" s="1"/>
  <c r="Z55" i="18"/>
  <c r="Z22" i="4" s="1"/>
  <c r="Y55" i="18"/>
  <c r="Y22" i="4" s="1"/>
  <c r="X55" i="18"/>
  <c r="W55" i="18"/>
  <c r="W22" i="4" s="1"/>
  <c r="V55" i="18"/>
  <c r="V22" i="4" s="1"/>
  <c r="U55" i="18"/>
  <c r="U22" i="4" s="1"/>
  <c r="T55" i="18"/>
  <c r="S55" i="18"/>
  <c r="S22" i="4" s="1"/>
  <c r="R55" i="18"/>
  <c r="R22" i="4" s="1"/>
  <c r="Q55" i="18"/>
  <c r="P55" i="18"/>
  <c r="O55" i="18"/>
  <c r="O22" i="4" s="1"/>
  <c r="N55" i="18"/>
  <c r="N22" i="4" s="1"/>
  <c r="M55" i="18"/>
  <c r="L55" i="18"/>
  <c r="L22" i="4" s="1"/>
  <c r="K55" i="18"/>
  <c r="K22" i="4" s="1"/>
  <c r="J55" i="18"/>
  <c r="I55" i="18"/>
  <c r="H55" i="18"/>
  <c r="G55" i="18"/>
  <c r="G22" i="4" s="1"/>
  <c r="F55" i="18"/>
  <c r="F22" i="4" s="1"/>
  <c r="E55" i="18"/>
  <c r="D55" i="18"/>
  <c r="AU54" i="18"/>
  <c r="AT54" i="18"/>
  <c r="AS54" i="18"/>
  <c r="AS12" i="4" s="1"/>
  <c r="AC54" i="18"/>
  <c r="AC12" i="4" s="1"/>
  <c r="AB54" i="18"/>
  <c r="AB12" i="4" s="1"/>
  <c r="AA54" i="18"/>
  <c r="AA12" i="4" s="1"/>
  <c r="Z54" i="18"/>
  <c r="Z12" i="4" s="1"/>
  <c r="Y54" i="18"/>
  <c r="Y12" i="4" s="1"/>
  <c r="X54" i="18"/>
  <c r="X12" i="4" s="1"/>
  <c r="W54" i="18"/>
  <c r="W12" i="4" s="1"/>
  <c r="V54" i="18"/>
  <c r="V12" i="4" s="1"/>
  <c r="U54" i="18"/>
  <c r="T54" i="18"/>
  <c r="T12" i="4" s="1"/>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AC22" i="4"/>
  <c r="AB22" i="4"/>
  <c r="X22" i="4"/>
  <c r="T22" i="4"/>
  <c r="Q22" i="4"/>
  <c r="P22" i="4"/>
  <c r="M22" i="4"/>
  <c r="J22" i="4"/>
  <c r="I22" i="4"/>
  <c r="H22" i="4"/>
  <c r="E22" i="4"/>
  <c r="D22" i="4"/>
  <c r="AU12" i="4"/>
  <c r="AT12" i="4"/>
  <c r="U12" i="4"/>
  <c r="G12" i="4"/>
  <c r="F12" i="4"/>
  <c r="E12" i="4"/>
  <c r="D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D5" i="4"/>
  <c r="K15" i="10" l="1"/>
  <c r="E7" i="10"/>
  <c r="J7" i="10"/>
  <c r="F15" i="10"/>
  <c r="G7" i="10"/>
  <c r="G25" i="10" s="1"/>
  <c r="L31" i="10"/>
  <c r="L32" i="10" s="1"/>
  <c r="L33" i="10" s="1"/>
  <c r="L26" i="10"/>
  <c r="L30" i="10" s="1"/>
  <c r="G20" i="10"/>
  <c r="G29" i="10"/>
  <c r="G19" i="10"/>
  <c r="T46" i="10"/>
  <c r="X38" i="10"/>
  <c r="P41" i="10"/>
  <c r="P46" i="10" s="1"/>
  <c r="P47" i="10" s="1"/>
  <c r="P50" i="10" s="1"/>
  <c r="P52" i="10" s="1"/>
  <c r="E11" i="16" s="1"/>
  <c r="X13" i="10"/>
  <c r="Q13" i="10"/>
  <c r="T13" i="10"/>
  <c r="C12" i="10" l="1"/>
  <c r="F17" i="10"/>
  <c r="G21" i="10"/>
  <c r="K7" i="10"/>
  <c r="J37" i="10" s="1"/>
  <c r="G28" i="10"/>
  <c r="F7" i="10"/>
  <c r="D17" i="10"/>
  <c r="E37" i="10"/>
  <c r="D12" i="10"/>
  <c r="C17" i="10"/>
  <c r="E12" i="10"/>
  <c r="E17" i="10"/>
  <c r="G24" i="10"/>
  <c r="G23" i="10" s="1"/>
  <c r="G27" i="10" s="1"/>
  <c r="H17" i="10" l="1"/>
  <c r="E44" i="10"/>
  <c r="F37" i="10"/>
  <c r="J12" i="10"/>
  <c r="J17" i="10"/>
  <c r="J44" i="10" s="1"/>
  <c r="C44" i="10"/>
  <c r="F12" i="10"/>
  <c r="I17" i="10"/>
  <c r="K37" i="10"/>
  <c r="D44" i="10"/>
  <c r="H12" i="10"/>
  <c r="H44" i="10" s="1"/>
  <c r="K17" i="10"/>
  <c r="I12" i="10"/>
  <c r="G31" i="10"/>
  <c r="G32" i="10" s="1"/>
  <c r="G33" i="10" s="1"/>
  <c r="G26" i="10"/>
  <c r="G30" i="10" s="1"/>
  <c r="K12" i="10" l="1"/>
  <c r="K44" i="10" s="1"/>
  <c r="K51" i="10"/>
  <c r="F51" i="10"/>
  <c r="F44" i="10"/>
  <c r="F38" i="10"/>
  <c r="F41" i="10" s="1"/>
  <c r="I44" i="10"/>
  <c r="K38" i="10" s="1"/>
  <c r="K41" i="10" s="1"/>
  <c r="K46" i="10" l="1"/>
  <c r="K47" i="10" s="1"/>
  <c r="K50" i="10" s="1"/>
  <c r="K52" i="10" s="1"/>
  <c r="D11" i="16" s="1"/>
  <c r="F46" i="10"/>
  <c r="F47" i="10" s="1"/>
  <c r="F50" i="10" s="1"/>
  <c r="F52" i="10" s="1"/>
  <c r="C11" i="16"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<sst xmlns="http://schemas.openxmlformats.org/spreadsheetml/2006/main" count="569" uniqueCount="508">
  <si>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</si>
  <si>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</si>
  <si>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</si>
  <si>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</si>
  <si>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</si>
  <si>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</si>
  <si>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</si>
  <si>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</si>
  <si>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</si>
  <si>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</si>
  <si>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</si>
  <si>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</si>
  <si>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</si>
  <si>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</si>
  <si>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</si>
  <si>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</si>
  <si>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</si>
  <si>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</si>
  <si>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</si>
  <si>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</si>
  <si>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</si>
  <si>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</si>
  <si>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</si>
  <si>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</si>
  <si>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</si>
  <si>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</si>
  <si>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</si>
  <si>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</si>
  <si>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</si>
  <si>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</si>
  <si>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</si>
  <si>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</si>
  <si>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</si>
  <si>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</si>
  <si>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</si>
  <si>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</si>
  <si>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</si>
  <si>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</si>
  <si>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</si>
  <si>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</si>
  <si>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</si>
  <si>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</si>
  <si>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</si>
  <si>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</si>
  <si>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</si>
  <si>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</si>
  <si>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</si>
  <si>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</si>
  <si>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</si>
  <si>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</si>
  <si>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</si>
  <si>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</si>
  <si>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</si>
  <si>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</si>
  <si>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</si>
  <si>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</si>
  <si>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</si>
  <si>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</si>
  <si>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</si>
  <si>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</si>
  <si>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</si>
  <si>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</si>
  <si>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</si>
  <si>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</si>
  <si>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</si>
  <si>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</si>
  <si>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</si>
  <si>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</si>
  <si>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</si>
  <si>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</si>
  <si>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</si>
  <si>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</si>
  <si>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</si>
  <si>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</si>
  <si>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</si>
  <si>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</si>
  <si>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</si>
  <si>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</si>
  <si>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</si>
  <si>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</si>
  <si>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</si>
  <si>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</si>
  <si>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</si>
  <si>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</si>
  <si>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</si>
  <si>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</si>
  <si>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</si>
  <si>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</si>
  <si>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</si>
  <si>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</si>
  <si>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</si>
  <si>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</si>
  <si>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</si>
  <si>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</si>
  <si>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</si>
  <si>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</si>
  <si>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</si>
  <si>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</si>
  <si>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</si>
  <si>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</si>
  <si>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</si>
  <si>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</si>
  <si>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</si>
  <si>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</si>
  <si>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</si>
  <si>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</si>
  <si>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</si>
  <si>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</si>
  <si>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</si>
  <si>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</si>
  <si>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</si>
  <si>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</si>
  <si>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</si>
  <si>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</si>
  <si>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</si>
  <si>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</si>
  <si>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</si>
  <si>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</si>
  <si>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</si>
  <si>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</si>
  <si>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</si>
  <si>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</si>
  <si>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</si>
  <si>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</si>
  <si>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</si>
  <si>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</si>
  <si>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</si>
  <si>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</si>
  <si>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</si>
  <si>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</si>
  <si>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</si>
  <si>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</si>
  <si>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</si>
  <si>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</si>
  <si>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</si>
  <si>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</si>
  <si>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</si>
  <si>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</si>
  <si>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</si>
  <si>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</si>
  <si>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</si>
  <si>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</si>
  <si>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</si>
  <si>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</si>
  <si>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</si>
  <si>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</si>
  <si>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</si>
  <si>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</si>
  <si>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</si>
  <si>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</si>
  <si>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</si>
  <si>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</si>
  <si>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</si>
  <si>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</si>
  <si>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</si>
  <si>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</si>
  <si>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</si>
  <si>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</si>
  <si>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</si>
  <si>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</si>
  <si>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</si>
  <si>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</si>
  <si>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</si>
  <si>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</si>
  <si>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</si>
  <si>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</si>
  <si>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</si>
  <si>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</si>
  <si>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</si>
  <si>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</si>
  <si>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</si>
  <si>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</si>
  <si>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</si>
  <si>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</si>
  <si>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</si>
  <si>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</si>
  <si>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</si>
  <si>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</si>
  <si>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</si>
  <si>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</si>
  <si>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</si>
  <si>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</si>
  <si>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</si>
  <si>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</si>
  <si>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</si>
  <si>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</si>
  <si>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</si>
  <si>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</si>
  <si>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</si>
  <si>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</si>
  <si>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</si>
  <si>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</si>
  <si>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</si>
  <si>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</si>
  <si>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</si>
  <si>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</si>
  <si>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</si>
  <si>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</si>
  <si>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</si>
  <si>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</si>
  <si>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</si>
  <si>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</si>
  <si>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</si>
  <si>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</si>
  <si>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</si>
  <si>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</si>
  <si>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</si>
  <si>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</si>
  <si>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</si>
  <si>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</si>
  <si>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</si>
  <si>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</si>
  <si>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</si>
  <si>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</si>
  <si>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</si>
  <si>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</si>
  <si>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</si>
  <si>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</si>
  <si>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</si>
  <si>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</si>
  <si>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</si>
  <si>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</si>
  <si>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</si>
  <si>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</si>
  <si>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</si>
  <si>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</si>
  <si>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</si>
  <si>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</si>
  <si>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</si>
  <si>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</si>
  <si>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</si>
  <si>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</si>
  <si>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</si>
  <si>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</si>
  <si>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</si>
  <si>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</si>
  <si>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</si>
  <si>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</si>
  <si>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</si>
  <si>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</si>
  <si>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</si>
  <si>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</si>
  <si>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</si>
  <si>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</si>
  <si>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</si>
  <si>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</si>
  <si>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</si>
  <si>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</si>
  <si>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</si>
  <si>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</si>
  <si>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</si>
  <si>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</si>
  <si>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</si>
  <si>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</si>
  <si>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</si>
  <si>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</si>
  <si>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</si>
  <si>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</si>
  <si>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</si>
  <si>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</si>
  <si>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</si>
  <si>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</si>
  <si>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</si>
  <si>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</si>
  <si>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</si>
  <si>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</si>
  <si>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</si>
  <si>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</si>
  <si>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</si>
  <si>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</si>
  <si>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</si>
  <si>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</si>
  <si>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</si>
  <si>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</si>
  <si>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</si>
  <si>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</si>
  <si>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</si>
  <si>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</si>
  <si>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</si>
  <si>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</si>
  <si>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</si>
  <si>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</si>
  <si>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</si>
  <si>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</si>
  <si>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</si>
  <si>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</si>
  <si>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</si>
  <si>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</si>
  <si>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</si>
  <si>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</si>
  <si>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</si>
  <si>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</si>
  <si>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</si>
  <si>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</si>
  <si>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</si>
  <si>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</si>
  <si>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</si>
  <si>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</si>
  <si>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</si>
  <si>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</si>
  <si>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</si>
  <si>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</si>
  <si>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</si>
  <si>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</si>
  <si>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</si>
  <si>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</si>
  <si>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</si>
  <si>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</si>
  <si>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</si>
  <si>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</si>
  <si>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</si>
  <si>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</si>
  <si>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</si>
  <si>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</si>
  <si>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</si>
  <si>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</si>
  <si>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</si>
  <si>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</si>
  <si>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</si>
  <si>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</si>
  <si>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</si>
  <si>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</si>
  <si>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</si>
  <si>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</si>
  <si>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</si>
  <si>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</si>
  <si>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</si>
  <si>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</si>
  <si>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</si>
  <si>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</si>
  <si>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</si>
  <si>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</si>
  <si>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</si>
  <si>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</si>
  <si>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</si>
  <si>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</si>
  <si>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</si>
  <si>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</si>
  <si>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</si>
  <si>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</si>
  <si>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</si>
  <si>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</si>
  <si>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</si>
  <si>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</si>
  <si>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</si>
  <si>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</si>
  <si>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</si>
  <si>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</si>
  <si>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</si>
  <si>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</si>
  <si>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</si>
  <si>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</si>
  <si>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</si>
  <si>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</si>
  <si>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</si>
  <si>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</si>
  <si>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</si>
  <si>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</si>
  <si>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</si>
  <si>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</si>
  <si>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</si>
  <si>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</si>
  <si>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</si>
  <si>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</si>
  <si>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</si>
  <si>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</si>
  <si>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</si>
  <si>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</si>
  <si>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</si>
  <si>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</si>
  <si>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</si>
  <si>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</si>
  <si>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</si>
  <si>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</si>
  <si>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</si>
  <si>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</si>
  <si>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</si>
  <si>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</si>
  <si>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</si>
  <si>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</si>
  <si>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</si>
  <si>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</si>
  <si>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</si>
  <si>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</si>
  <si>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</si>
  <si>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</si>
  <si>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</si>
  <si>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</si>
  <si>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</si>
  <si>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</si>
  <si>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</si>
  <si>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</si>
  <si>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</si>
  <si>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</si>
  <si>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</si>
  <si>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</si>
  <si>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</si>
  <si>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</si>
  <si>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</si>
  <si>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</si>
  <si>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</si>
  <si>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</si>
  <si>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</si>
  <si>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</si>
  <si>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</si>
  <si>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</si>
  <si>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</si>
  <si>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</si>
  <si>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</si>
  <si>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</si>
  <si>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</si>
  <si>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</si>
  <si>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</si>
  <si>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</si>
  <si>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</si>
  <si>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</si>
  <si>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</si>
  <si>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</si>
  <si>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</si>
  <si>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</si>
  <si>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</si>
  <si>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</si>
  <si>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</si>
  <si>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</si>
  <si>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</si>
  <si>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</si>
  <si>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</si>
  <si>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</si>
  <si>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</si>
  <si>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</si>
  <si>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</si>
  <si>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</si>
  <si>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</si>
  <si>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</si>
  <si>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</si>
  <si>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</si>
  <si>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</si>
  <si>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</si>
  <si>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</si>
  <si>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</si>
  <si>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</si>
  <si>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</si>
  <si>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</si>
  <si>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</si>
  <si>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</si>
  <si>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</si>
  <si>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</si>
  <si>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</si>
  <si>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</si>
  <si>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</si>
  <si>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</si>
  <si>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</si>
  <si>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</si>
  <si>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</si>
  <si>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</si>
  <si>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</si>
  <si>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</si>
  <si>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</si>
  <si>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</si>
  <si>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</si>
  <si>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</si>
  <si>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</si>
  <si>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</si>
  <si>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</si>
  <si>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</si>
  <si>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</si>
  <si>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</si>
  <si>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</si>
  <si>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</si>
  <si>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</si>
  <si>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</si>
  <si>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</si>
  <si>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</si>
  <si>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</si>
  <si>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</si>
  <si>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</si>
  <si>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</si>
  <si>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</si>
  <si>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</si>
  <si>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</si>
  <si>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</si>
  <si>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</si>
  <si>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</si>
  <si>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</si>
  <si>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</si>
  <si>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</si>
  <si>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</si>
  <si>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</si>
  <si>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</si>
  <si>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</si>
  <si>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</si>
  <si>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</si>
  <si>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</si>
  <si>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</si>
  <si>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</si>
  <si>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</si>
  <si>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</si>
  <si>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</si>
  <si>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</si>
  <si>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</si>
  <si>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</si>
  <si>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</si>
  <si>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</si>
  <si>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62294</t>
  </si>
  <si>
    <t>219</t>
  </si>
  <si>
    <t>Humana Insurance of Puerto Rico,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</si>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</sst>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162</v>
      </c>
    </row>
    <row r="13" spans="1:6" x14ac:dyDescent="0.2">
      <c r="B13" s="232" t="s">
        <v>50</v>
      </c>
      <c r="C13" s="378" t="s">
        <v>192</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19117173</v>
      </c>
      <c r="E5" s="106">
        <f>SUM('Pt 2 Premium and Claims'!E$5,'Pt 2 Premium and Claims'!E$6,-'Pt 2 Premium and Claims'!E$7,-'Pt 2 Premium and Claims'!E$13,'Pt 2 Premium and Claims'!E$14:'Pt 2 Premium and Claims'!E$17)</f>
        <v>20244946.899999902</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27199324</v>
      </c>
      <c r="K5" s="106">
        <f>SUM('Pt 2 Premium and Claims'!K$5,'Pt 2 Premium and Claims'!K$6,-'Pt 2 Premium and Claims'!K$7,-'Pt 2 Premium and Claims'!K$13,'Pt 2 Premium and Claims'!K$14,'Pt 2 Premium and Claims'!K$16:'Pt 2 Premium and Claims'!K$17)</f>
        <v>26868674.689243298</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8645063</v>
      </c>
      <c r="Q5" s="106">
        <f>SUM('Pt 2 Premium and Claims'!Q$5,'Pt 2 Premium and Claims'!Q$6,-'Pt 2 Premium and Claims'!Q$7,-'Pt 2 Premium and Claims'!Q$13,'Pt 2 Premium and Claims'!Q$14)</f>
        <v>8843149.4845107999</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766868339</v>
      </c>
      <c r="AT5" s="107">
        <f>SUM('Pt 2 Premium and Claims'!AT$5,'Pt 2 Premium and Claims'!AT$6,-'Pt 2 Premium and Claims'!AT$7,-'Pt 2 Premium and Claims'!AT$13,'Pt 2 Premium and Claims'!AT$14)</f>
        <v>16827849</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-33264</v>
      </c>
      <c r="E7" s="110">
        <v>-33264</v>
      </c>
      <c r="F7" s="110"/>
      <c r="G7" s="110"/>
      <c r="H7" s="110"/>
      <c r="I7" s="109"/>
      <c r="J7" s="109">
        <v>-54258</v>
      </c>
      <c r="K7" s="110">
        <v>-54258</v>
      </c>
      <c r="L7" s="110"/>
      <c r="M7" s="110"/>
      <c r="N7" s="110"/>
      <c r="O7" s="109"/>
      <c r="P7" s="109">
        <v>-20460</v>
      </c>
      <c r="Q7" s="110">
        <v>-20460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-3946</v>
      </c>
      <c r="AU7" s="113"/>
      <c r="AV7" s="311"/>
      <c r="AW7" s="318"/>
    </row>
    <row r="8" spans="1:49" ht="25.5" x14ac:dyDescent="0.2">
      <c r="B8" s="155" t="s">
        <v>225</v>
      </c>
      <c r="C8" s="62" t="s">
        <v>59</v>
      </c>
      <c r="D8" s="109">
        <v>-102052</v>
      </c>
      <c r="E8" s="289"/>
      <c r="F8" s="290"/>
      <c r="G8" s="290"/>
      <c r="H8" s="290"/>
      <c r="I8" s="293"/>
      <c r="J8" s="109">
        <v>-63502</v>
      </c>
      <c r="K8" s="289"/>
      <c r="L8" s="290"/>
      <c r="M8" s="290"/>
      <c r="N8" s="290"/>
      <c r="O8" s="293"/>
      <c r="P8" s="109">
        <v>-4533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102535</v>
      </c>
      <c r="AT8" s="113">
        <v>-180631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14271883</v>
      </c>
      <c r="E12" s="106">
        <f>'Pt 2 Premium and Claims'!E$54</f>
        <v>14364555.977500001</v>
      </c>
      <c r="F12" s="106">
        <f>'Pt 2 Premium and Claims'!F$54</f>
        <v>0</v>
      </c>
      <c r="G12" s="106">
        <f>'Pt 2 Premium and Claims'!G$54</f>
        <v>0</v>
      </c>
      <c r="H12" s="106">
        <f>'Pt 2 Premium and Claims'!H$54</f>
        <v>0</v>
      </c>
      <c r="I12" s="105">
        <f>'Pt 2 Premium and Claims'!I$54</f>
        <v>0</v>
      </c>
      <c r="J12" s="105">
        <f>'Pt 2 Premium and Claims'!J$54</f>
        <v>20641805</v>
      </c>
      <c r="K12" s="106">
        <f>'Pt 2 Premium and Claims'!K$54</f>
        <v>18460206.061644658</v>
      </c>
      <c r="L12" s="106">
        <f>'Pt 2 Premium and Claims'!L$54</f>
        <v>0</v>
      </c>
      <c r="M12" s="106">
        <f>'Pt 2 Premium and Claims'!M$54</f>
        <v>0</v>
      </c>
      <c r="N12" s="106">
        <f>'Pt 2 Premium and Claims'!N$54</f>
        <v>0</v>
      </c>
      <c r="O12" s="105">
        <f>'Pt 2 Premium and Claims'!O$54</f>
        <v>0</v>
      </c>
      <c r="P12" s="105">
        <f>'Pt 2 Premium and Claims'!P$54</f>
        <v>6506192</v>
      </c>
      <c r="Q12" s="106">
        <f>'Pt 2 Premium and Claims'!Q$54</f>
        <v>5246514.181255348</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617881615</v>
      </c>
      <c r="AT12" s="107">
        <f>'Pt 2 Premium and Claims'!AT$54</f>
        <v>9519130</v>
      </c>
      <c r="AU12" s="107">
        <f>'Pt 2 Premium and Claims'!AU$54</f>
        <v>0</v>
      </c>
      <c r="AV12" s="312"/>
      <c r="AW12" s="317"/>
    </row>
    <row r="13" spans="1:49" ht="25.5" x14ac:dyDescent="0.2">
      <c r="B13" s="155" t="s">
        <v>230</v>
      </c>
      <c r="C13" s="62" t="s">
        <v>37</v>
      </c>
      <c r="D13" s="109">
        <v>1248578</v>
      </c>
      <c r="E13" s="110">
        <v>1256228.5699999998</v>
      </c>
      <c r="F13" s="110"/>
      <c r="G13" s="289"/>
      <c r="H13" s="290"/>
      <c r="I13" s="109"/>
      <c r="J13" s="109">
        <v>2567385</v>
      </c>
      <c r="K13" s="110">
        <v>2598112.0836505946</v>
      </c>
      <c r="L13" s="110"/>
      <c r="M13" s="289"/>
      <c r="N13" s="290"/>
      <c r="O13" s="109"/>
      <c r="P13" s="109">
        <v>834956</v>
      </c>
      <c r="Q13" s="110">
        <v>807327.10634940537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145554841</v>
      </c>
      <c r="AT13" s="113">
        <v>35</v>
      </c>
      <c r="AU13" s="113"/>
      <c r="AV13" s="311"/>
      <c r="AW13" s="318"/>
    </row>
    <row r="14" spans="1:49" ht="25.5" x14ac:dyDescent="0.2">
      <c r="B14" s="155" t="s">
        <v>231</v>
      </c>
      <c r="C14" s="62" t="s">
        <v>6</v>
      </c>
      <c r="D14" s="109">
        <v>98555</v>
      </c>
      <c r="E14" s="110">
        <v>89846.489999999991</v>
      </c>
      <c r="F14" s="110"/>
      <c r="G14" s="288"/>
      <c r="H14" s="291"/>
      <c r="I14" s="109"/>
      <c r="J14" s="109">
        <v>234229</v>
      </c>
      <c r="K14" s="110">
        <v>230714.20461545978</v>
      </c>
      <c r="L14" s="110"/>
      <c r="M14" s="288"/>
      <c r="N14" s="291"/>
      <c r="O14" s="109"/>
      <c r="P14" s="109">
        <v>87472</v>
      </c>
      <c r="Q14" s="110">
        <v>83470.615384539822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37973682</v>
      </c>
      <c r="AT14" s="113">
        <v>21</v>
      </c>
      <c r="AU14" s="113"/>
      <c r="AV14" s="311"/>
      <c r="AW14" s="318"/>
    </row>
    <row r="15" spans="1:49" ht="38.25" x14ac:dyDescent="0.2">
      <c r="B15" s="155" t="s">
        <v>232</v>
      </c>
      <c r="C15" s="62" t="s">
        <v>7</v>
      </c>
      <c r="D15" s="109">
        <v>611</v>
      </c>
      <c r="E15" s="110">
        <v>611</v>
      </c>
      <c r="F15" s="110"/>
      <c r="G15" s="288"/>
      <c r="H15" s="294"/>
      <c r="I15" s="109"/>
      <c r="J15" s="109">
        <v>839</v>
      </c>
      <c r="K15" s="110">
        <v>839</v>
      </c>
      <c r="L15" s="110"/>
      <c r="M15" s="288"/>
      <c r="N15" s="294"/>
      <c r="O15" s="109"/>
      <c r="P15" s="109">
        <v>293</v>
      </c>
      <c r="Q15" s="110">
        <v>293</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25045</v>
      </c>
      <c r="AT15" s="113">
        <v>739</v>
      </c>
      <c r="AU15" s="113"/>
      <c r="AV15" s="311"/>
      <c r="AW15" s="318"/>
    </row>
    <row r="16" spans="1:49" ht="25.5" x14ac:dyDescent="0.2">
      <c r="B16" s="155" t="s">
        <v>233</v>
      </c>
      <c r="C16" s="62" t="s">
        <v>61</v>
      </c>
      <c r="D16" s="109">
        <v>-676098</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20804</v>
      </c>
      <c r="AT16" s="113">
        <v>-20854</v>
      </c>
      <c r="AU16" s="113"/>
      <c r="AV16" s="311"/>
      <c r="AW16" s="318"/>
    </row>
    <row r="17" spans="1:49" x14ac:dyDescent="0.2">
      <c r="B17" s="155" t="s">
        <v>234</v>
      </c>
      <c r="C17" s="62" t="s">
        <v>62</v>
      </c>
      <c r="D17" s="109">
        <v>-935647</v>
      </c>
      <c r="E17" s="288"/>
      <c r="F17" s="291"/>
      <c r="G17" s="291"/>
      <c r="H17" s="291"/>
      <c r="I17" s="292"/>
      <c r="J17" s="109">
        <v>-2019317</v>
      </c>
      <c r="K17" s="288"/>
      <c r="L17" s="291"/>
      <c r="M17" s="291"/>
      <c r="N17" s="291"/>
      <c r="O17" s="292"/>
      <c r="P17" s="109">
        <v>-1341034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-182606</v>
      </c>
      <c r="AU17" s="113"/>
      <c r="AV17" s="311"/>
      <c r="AW17" s="318"/>
    </row>
    <row r="18" spans="1:49" x14ac:dyDescent="0.2">
      <c r="B18" s="155" t="s">
        <v>235</v>
      </c>
      <c r="C18" s="62" t="s">
        <v>63</v>
      </c>
      <c r="D18" s="109">
        <v>1241021</v>
      </c>
      <c r="E18" s="288"/>
      <c r="F18" s="291"/>
      <c r="G18" s="291"/>
      <c r="H18" s="294"/>
      <c r="I18" s="292"/>
      <c r="J18" s="109">
        <v>1407981</v>
      </c>
      <c r="K18" s="288"/>
      <c r="L18" s="291"/>
      <c r="M18" s="291"/>
      <c r="N18" s="294"/>
      <c r="O18" s="292"/>
      <c r="P18" s="109">
        <v>508510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1254247</v>
      </c>
      <c r="E19" s="288"/>
      <c r="F19" s="291"/>
      <c r="G19" s="291"/>
      <c r="H19" s="291"/>
      <c r="I19" s="292"/>
      <c r="J19" s="109">
        <v>1834800</v>
      </c>
      <c r="K19" s="288"/>
      <c r="L19" s="291"/>
      <c r="M19" s="291"/>
      <c r="N19" s="291"/>
      <c r="O19" s="292"/>
      <c r="P19" s="109">
        <v>600069</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948873</v>
      </c>
      <c r="E20" s="288"/>
      <c r="F20" s="291"/>
      <c r="G20" s="291"/>
      <c r="H20" s="291"/>
      <c r="I20" s="292"/>
      <c r="J20" s="109">
        <v>2446136</v>
      </c>
      <c r="K20" s="288"/>
      <c r="L20" s="291"/>
      <c r="M20" s="291"/>
      <c r="N20" s="291"/>
      <c r="O20" s="292"/>
      <c r="P20" s="109">
        <v>1432592</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10437</v>
      </c>
      <c r="E22" s="115">
        <f>'Pt 2 Premium and Claims'!E$55</f>
        <v>10437</v>
      </c>
      <c r="F22" s="115">
        <f>'Pt 2 Premium and Claims'!F$55</f>
        <v>0</v>
      </c>
      <c r="G22" s="115">
        <f>'Pt 2 Premium and Claims'!G$55</f>
        <v>0</v>
      </c>
      <c r="H22" s="115">
        <f>'Pt 2 Premium and Claims'!H$55</f>
        <v>0</v>
      </c>
      <c r="I22" s="114">
        <f>'Pt 2 Premium and Claims'!I$55</f>
        <v>0</v>
      </c>
      <c r="J22" s="114">
        <f>'Pt 2 Premium and Claims'!J$55</f>
        <v>29704</v>
      </c>
      <c r="K22" s="115">
        <f>'Pt 2 Premium and Claims'!K$55</f>
        <v>29704</v>
      </c>
      <c r="L22" s="115">
        <f>'Pt 2 Premium and Claims'!L$55</f>
        <v>0</v>
      </c>
      <c r="M22" s="115">
        <f>'Pt 2 Premium and Claims'!M$55</f>
        <v>0</v>
      </c>
      <c r="N22" s="115">
        <f>'Pt 2 Premium and Claims'!N$55</f>
        <v>0</v>
      </c>
      <c r="O22" s="114">
        <f>'Pt 2 Premium and Claims'!O$55</f>
        <v>0</v>
      </c>
      <c r="P22" s="114">
        <f>'Pt 2 Premium and Claims'!P$55</f>
        <v>458</v>
      </c>
      <c r="Q22" s="115">
        <f>'Pt 2 Premium and Claims'!Q$55</f>
        <v>458</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-53670.935689999998</v>
      </c>
      <c r="E25" s="110">
        <v>-53670.935689999998</v>
      </c>
      <c r="F25" s="110"/>
      <c r="G25" s="110"/>
      <c r="H25" s="110"/>
      <c r="I25" s="109"/>
      <c r="J25" s="109">
        <v>1031312.594</v>
      </c>
      <c r="K25" s="110">
        <v>1031312.594</v>
      </c>
      <c r="L25" s="110"/>
      <c r="M25" s="110"/>
      <c r="N25" s="110"/>
      <c r="O25" s="109"/>
      <c r="P25" s="109">
        <v>337791.03899999999</v>
      </c>
      <c r="Q25" s="110">
        <v>337791.03899999999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18871990.34</v>
      </c>
      <c r="AT25" s="113">
        <v>1135002.3829999999</v>
      </c>
      <c r="AU25" s="113"/>
      <c r="AV25" s="113"/>
      <c r="AW25" s="318"/>
    </row>
    <row r="26" spans="1:49" s="5" customFormat="1" x14ac:dyDescent="0.2">
      <c r="A26" s="35"/>
      <c r="B26" s="158" t="s">
        <v>243</v>
      </c>
      <c r="C26" s="62"/>
      <c r="D26" s="109"/>
      <c r="E26" s="110">
        <v>17744.669999999998</v>
      </c>
      <c r="F26" s="110"/>
      <c r="G26" s="110"/>
      <c r="H26" s="110"/>
      <c r="I26" s="109"/>
      <c r="J26" s="109"/>
      <c r="K26" s="110">
        <v>14388.580000000002</v>
      </c>
      <c r="L26" s="110"/>
      <c r="M26" s="110"/>
      <c r="N26" s="110"/>
      <c r="O26" s="109"/>
      <c r="P26" s="109"/>
      <c r="Q26" s="110">
        <v>5187.3100000000004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240573.54</v>
      </c>
      <c r="E27" s="110">
        <v>240573.54</v>
      </c>
      <c r="F27" s="110"/>
      <c r="G27" s="110"/>
      <c r="H27" s="110"/>
      <c r="I27" s="109"/>
      <c r="J27" s="109">
        <v>328781.55</v>
      </c>
      <c r="K27" s="110">
        <v>328781.55</v>
      </c>
      <c r="L27" s="110"/>
      <c r="M27" s="110"/>
      <c r="N27" s="110"/>
      <c r="O27" s="109"/>
      <c r="P27" s="109">
        <v>62162.920000000006</v>
      </c>
      <c r="Q27" s="110">
        <v>62162.920000000006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9544949.0300000012</v>
      </c>
      <c r="AT27" s="113">
        <v>111125.74999999999</v>
      </c>
      <c r="AU27" s="113"/>
      <c r="AV27" s="314"/>
      <c r="AW27" s="318"/>
    </row>
    <row r="28" spans="1:49" s="5" customFormat="1" x14ac:dyDescent="0.2">
      <c r="A28" s="35"/>
      <c r="B28" s="158" t="s">
        <v>245</v>
      </c>
      <c r="C28" s="62"/>
      <c r="D28" s="109">
        <v>532167.82999999996</v>
      </c>
      <c r="E28" s="110">
        <v>84668.469999999987</v>
      </c>
      <c r="F28" s="110"/>
      <c r="G28" s="110"/>
      <c r="H28" s="110"/>
      <c r="I28" s="109"/>
      <c r="J28" s="109">
        <v>452629.08</v>
      </c>
      <c r="K28" s="110">
        <v>59680.42</v>
      </c>
      <c r="L28" s="110"/>
      <c r="M28" s="110"/>
      <c r="N28" s="110"/>
      <c r="O28" s="109"/>
      <c r="P28" s="109">
        <v>164972.76</v>
      </c>
      <c r="Q28" s="110">
        <v>21518.59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42909.67</v>
      </c>
      <c r="AT28" s="113">
        <v>5790.13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4076.2018140000023</v>
      </c>
      <c r="E30" s="110">
        <v>-12060.084385999999</v>
      </c>
      <c r="F30" s="110"/>
      <c r="G30" s="110"/>
      <c r="H30" s="110"/>
      <c r="I30" s="109"/>
      <c r="J30" s="109">
        <v>78263.099939999956</v>
      </c>
      <c r="K30" s="110">
        <v>48270.971739999957</v>
      </c>
      <c r="L30" s="110"/>
      <c r="M30" s="110"/>
      <c r="N30" s="110"/>
      <c r="O30" s="109"/>
      <c r="P30" s="109">
        <v>25878.287720000015</v>
      </c>
      <c r="Q30" s="110">
        <v>25899.345720000012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1413869.794</v>
      </c>
      <c r="AT30" s="113">
        <v>83232.064580000049</v>
      </c>
      <c r="AU30" s="113"/>
      <c r="AV30" s="113"/>
      <c r="AW30" s="318"/>
    </row>
    <row r="31" spans="1:49" x14ac:dyDescent="0.2">
      <c r="B31" s="158" t="s">
        <v>248</v>
      </c>
      <c r="C31" s="62"/>
      <c r="D31" s="109">
        <v>265600.01620000001</v>
      </c>
      <c r="E31" s="110">
        <v>257497.0662</v>
      </c>
      <c r="F31" s="110"/>
      <c r="G31" s="110"/>
      <c r="H31" s="110"/>
      <c r="I31" s="109"/>
      <c r="J31" s="109">
        <v>359695.40820000001</v>
      </c>
      <c r="K31" s="110">
        <v>359695.40820000001</v>
      </c>
      <c r="L31" s="110"/>
      <c r="M31" s="110"/>
      <c r="N31" s="110"/>
      <c r="O31" s="109"/>
      <c r="P31" s="109">
        <v>109220.192</v>
      </c>
      <c r="Q31" s="110">
        <v>109220.192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184375.80000000002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559603.84</v>
      </c>
      <c r="F34" s="110"/>
      <c r="G34" s="110"/>
      <c r="H34" s="110"/>
      <c r="I34" s="109"/>
      <c r="J34" s="109"/>
      <c r="K34" s="110">
        <v>435937.12</v>
      </c>
      <c r="L34" s="110"/>
      <c r="M34" s="110"/>
      <c r="N34" s="110"/>
      <c r="O34" s="109"/>
      <c r="P34" s="109"/>
      <c r="Q34" s="110">
        <v>159083.44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23229.979999999996</v>
      </c>
      <c r="E35" s="110">
        <v>24110.139999999996</v>
      </c>
      <c r="F35" s="110"/>
      <c r="G35" s="110"/>
      <c r="H35" s="110"/>
      <c r="I35" s="109"/>
      <c r="J35" s="109">
        <v>16730.91</v>
      </c>
      <c r="K35" s="110">
        <v>17208.96</v>
      </c>
      <c r="L35" s="110"/>
      <c r="M35" s="110"/>
      <c r="N35" s="110"/>
      <c r="O35" s="109"/>
      <c r="P35" s="109">
        <v>6022.1900000000005</v>
      </c>
      <c r="Q35" s="110">
        <v>6066.9400000000005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403850.36</v>
      </c>
      <c r="AT35" s="113">
        <v>14351.27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77473</v>
      </c>
      <c r="E37" s="118">
        <v>77472.60000000002</v>
      </c>
      <c r="F37" s="118"/>
      <c r="G37" s="118"/>
      <c r="H37" s="118"/>
      <c r="I37" s="117"/>
      <c r="J37" s="117">
        <v>111879</v>
      </c>
      <c r="K37" s="118">
        <v>111878.2</v>
      </c>
      <c r="L37" s="118"/>
      <c r="M37" s="118"/>
      <c r="N37" s="118"/>
      <c r="O37" s="117"/>
      <c r="P37" s="117">
        <v>40417</v>
      </c>
      <c r="Q37" s="118">
        <v>40416.929999999993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4887367</v>
      </c>
      <c r="AT37" s="119">
        <v>623</v>
      </c>
      <c r="AU37" s="119"/>
      <c r="AV37" s="119"/>
      <c r="AW37" s="317"/>
    </row>
    <row r="38" spans="1:49" x14ac:dyDescent="0.2">
      <c r="B38" s="155" t="s">
        <v>255</v>
      </c>
      <c r="C38" s="62" t="s">
        <v>16</v>
      </c>
      <c r="D38" s="109">
        <v>17026</v>
      </c>
      <c r="E38" s="110">
        <v>17026.140000000003</v>
      </c>
      <c r="F38" s="110"/>
      <c r="G38" s="110"/>
      <c r="H38" s="110"/>
      <c r="I38" s="109"/>
      <c r="J38" s="109">
        <v>44815</v>
      </c>
      <c r="K38" s="110">
        <v>44815.189999999995</v>
      </c>
      <c r="L38" s="110"/>
      <c r="M38" s="110"/>
      <c r="N38" s="110"/>
      <c r="O38" s="109"/>
      <c r="P38" s="109">
        <v>16134</v>
      </c>
      <c r="Q38" s="110">
        <v>16134.029999999999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1742892</v>
      </c>
      <c r="AT38" s="113">
        <v>28</v>
      </c>
      <c r="AU38" s="113"/>
      <c r="AV38" s="113"/>
      <c r="AW38" s="318"/>
    </row>
    <row r="39" spans="1:49" x14ac:dyDescent="0.2">
      <c r="B39" s="158" t="s">
        <v>256</v>
      </c>
      <c r="C39" s="62" t="s">
        <v>17</v>
      </c>
      <c r="D39" s="109">
        <v>48196</v>
      </c>
      <c r="E39" s="110">
        <v>48196.090000000011</v>
      </c>
      <c r="F39" s="110"/>
      <c r="G39" s="110"/>
      <c r="H39" s="110"/>
      <c r="I39" s="109"/>
      <c r="J39" s="109">
        <v>48501</v>
      </c>
      <c r="K39" s="110">
        <v>48500.789999999994</v>
      </c>
      <c r="L39" s="110"/>
      <c r="M39" s="110"/>
      <c r="N39" s="110"/>
      <c r="O39" s="109"/>
      <c r="P39" s="109">
        <v>16979</v>
      </c>
      <c r="Q39" s="110">
        <v>16979.379999999997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1351957</v>
      </c>
      <c r="AT39" s="113">
        <v>9785</v>
      </c>
      <c r="AU39" s="113"/>
      <c r="AV39" s="113"/>
      <c r="AW39" s="318"/>
    </row>
    <row r="40" spans="1:49" x14ac:dyDescent="0.2">
      <c r="B40" s="158" t="s">
        <v>257</v>
      </c>
      <c r="C40" s="62" t="s">
        <v>38</v>
      </c>
      <c r="D40" s="109">
        <v>172298</v>
      </c>
      <c r="E40" s="110">
        <v>172297.87</v>
      </c>
      <c r="F40" s="110"/>
      <c r="G40" s="110"/>
      <c r="H40" s="110"/>
      <c r="I40" s="109"/>
      <c r="J40" s="109">
        <v>310679</v>
      </c>
      <c r="K40" s="110">
        <v>310679.12000000005</v>
      </c>
      <c r="L40" s="110"/>
      <c r="M40" s="110"/>
      <c r="N40" s="110"/>
      <c r="O40" s="109"/>
      <c r="P40" s="109">
        <v>115563</v>
      </c>
      <c r="Q40" s="110">
        <v>115562.54999999997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4132907</v>
      </c>
      <c r="AT40" s="113">
        <v>10575</v>
      </c>
      <c r="AU40" s="113"/>
      <c r="AV40" s="113"/>
      <c r="AW40" s="318"/>
    </row>
    <row r="41" spans="1:49" s="5" customFormat="1" ht="25.5" x14ac:dyDescent="0.2">
      <c r="A41" s="35"/>
      <c r="B41" s="158" t="s">
        <v>258</v>
      </c>
      <c r="C41" s="62" t="s">
        <v>129</v>
      </c>
      <c r="D41" s="109">
        <v>43067</v>
      </c>
      <c r="E41" s="110">
        <v>43066.44</v>
      </c>
      <c r="F41" s="110"/>
      <c r="G41" s="110"/>
      <c r="H41" s="110"/>
      <c r="I41" s="109"/>
      <c r="J41" s="109">
        <v>29930</v>
      </c>
      <c r="K41" s="110">
        <v>29930.180000000004</v>
      </c>
      <c r="L41" s="110"/>
      <c r="M41" s="110"/>
      <c r="N41" s="110"/>
      <c r="O41" s="109"/>
      <c r="P41" s="109">
        <v>10906</v>
      </c>
      <c r="Q41" s="110">
        <v>10906.4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1948988</v>
      </c>
      <c r="AT41" s="113">
        <v>16202.000000000002</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533054</v>
      </c>
      <c r="E44" s="118">
        <v>533054</v>
      </c>
      <c r="F44" s="118"/>
      <c r="G44" s="118"/>
      <c r="H44" s="118"/>
      <c r="I44" s="117"/>
      <c r="J44" s="117">
        <v>791157</v>
      </c>
      <c r="K44" s="118">
        <v>791157</v>
      </c>
      <c r="L44" s="118"/>
      <c r="M44" s="118"/>
      <c r="N44" s="118"/>
      <c r="O44" s="117"/>
      <c r="P44" s="117">
        <v>297737</v>
      </c>
      <c r="Q44" s="118">
        <v>297737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8579467</v>
      </c>
      <c r="AT44" s="119">
        <v>211749</v>
      </c>
      <c r="AU44" s="119"/>
      <c r="AV44" s="119"/>
      <c r="AW44" s="317"/>
    </row>
    <row r="45" spans="1:49" x14ac:dyDescent="0.2">
      <c r="B45" s="161" t="s">
        <v>262</v>
      </c>
      <c r="C45" s="62" t="s">
        <v>19</v>
      </c>
      <c r="D45" s="109">
        <v>308265</v>
      </c>
      <c r="E45" s="110">
        <v>308265</v>
      </c>
      <c r="F45" s="110"/>
      <c r="G45" s="110"/>
      <c r="H45" s="110"/>
      <c r="I45" s="109"/>
      <c r="J45" s="109">
        <v>225536</v>
      </c>
      <c r="K45" s="110">
        <v>225536</v>
      </c>
      <c r="L45" s="110"/>
      <c r="M45" s="110"/>
      <c r="N45" s="110"/>
      <c r="O45" s="109"/>
      <c r="P45" s="109">
        <v>83146</v>
      </c>
      <c r="Q45" s="110">
        <v>83146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7797173</v>
      </c>
      <c r="AT45" s="113">
        <v>109436</v>
      </c>
      <c r="AU45" s="113"/>
      <c r="AV45" s="113"/>
      <c r="AW45" s="318"/>
    </row>
    <row r="46" spans="1:49" x14ac:dyDescent="0.2">
      <c r="B46" s="161" t="s">
        <v>263</v>
      </c>
      <c r="C46" s="62" t="s">
        <v>20</v>
      </c>
      <c r="D46" s="109">
        <v>322875</v>
      </c>
      <c r="E46" s="110">
        <v>322875</v>
      </c>
      <c r="F46" s="110"/>
      <c r="G46" s="110"/>
      <c r="H46" s="110"/>
      <c r="I46" s="109"/>
      <c r="J46" s="109">
        <v>96446</v>
      </c>
      <c r="K46" s="110">
        <v>96446</v>
      </c>
      <c r="L46" s="110"/>
      <c r="M46" s="110"/>
      <c r="N46" s="110"/>
      <c r="O46" s="109"/>
      <c r="P46" s="109">
        <v>34992</v>
      </c>
      <c r="Q46" s="110">
        <v>34992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7196720</v>
      </c>
      <c r="AT46" s="113">
        <v>290321</v>
      </c>
      <c r="AU46" s="113"/>
      <c r="AV46" s="113"/>
      <c r="AW46" s="318"/>
    </row>
    <row r="47" spans="1:49" x14ac:dyDescent="0.2">
      <c r="B47" s="161" t="s">
        <v>264</v>
      </c>
      <c r="C47" s="62" t="s">
        <v>21</v>
      </c>
      <c r="D47" s="109">
        <v>1137538</v>
      </c>
      <c r="E47" s="110">
        <v>1137538</v>
      </c>
      <c r="F47" s="110"/>
      <c r="G47" s="110"/>
      <c r="H47" s="110"/>
      <c r="I47" s="109"/>
      <c r="J47" s="109">
        <v>1159700</v>
      </c>
      <c r="K47" s="110">
        <v>1159700</v>
      </c>
      <c r="L47" s="110"/>
      <c r="M47" s="110"/>
      <c r="N47" s="110"/>
      <c r="O47" s="109"/>
      <c r="P47" s="109">
        <v>416448</v>
      </c>
      <c r="Q47" s="110">
        <v>416448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7579462</v>
      </c>
      <c r="AT47" s="113">
        <v>1204940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74167.811985999986</v>
      </c>
      <c r="E49" s="110">
        <v>8192.5281860000014</v>
      </c>
      <c r="F49" s="110"/>
      <c r="G49" s="110"/>
      <c r="H49" s="110"/>
      <c r="I49" s="109"/>
      <c r="J49" s="109">
        <v>-39815.94814</v>
      </c>
      <c r="K49" s="110">
        <v>-67678.909939999998</v>
      </c>
      <c r="L49" s="110"/>
      <c r="M49" s="110"/>
      <c r="N49" s="110"/>
      <c r="O49" s="109"/>
      <c r="P49" s="109">
        <v>-1178.6597199999997</v>
      </c>
      <c r="Q49" s="110">
        <v>-22061.047719999999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2461593.176</v>
      </c>
      <c r="AT49" s="113">
        <v>135191.50541999997</v>
      </c>
      <c r="AU49" s="113"/>
      <c r="AV49" s="113"/>
      <c r="AW49" s="318"/>
    </row>
    <row r="50" spans="2:49" ht="25.5" x14ac:dyDescent="0.2">
      <c r="B50" s="155" t="s">
        <v>266</v>
      </c>
      <c r="C50" s="62"/>
      <c r="D50" s="109">
        <v>1240.0900000000004</v>
      </c>
      <c r="E50" s="110">
        <v>1240.0900000000004</v>
      </c>
      <c r="F50" s="110"/>
      <c r="G50" s="110"/>
      <c r="H50" s="110"/>
      <c r="I50" s="109"/>
      <c r="J50" s="109">
        <v>977.09999999999991</v>
      </c>
      <c r="K50" s="110">
        <v>977.09999999999991</v>
      </c>
      <c r="L50" s="110"/>
      <c r="M50" s="110"/>
      <c r="N50" s="110"/>
      <c r="O50" s="109"/>
      <c r="P50" s="109">
        <v>355.26</v>
      </c>
      <c r="Q50" s="110">
        <v>355.26</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24670.450000000008</v>
      </c>
      <c r="AT50" s="113">
        <v>722.97</v>
      </c>
      <c r="AU50" s="113"/>
      <c r="AV50" s="113"/>
      <c r="AW50" s="318"/>
    </row>
    <row r="51" spans="2:49" x14ac:dyDescent="0.2">
      <c r="B51" s="155" t="s">
        <v>267</v>
      </c>
      <c r="C51" s="62"/>
      <c r="D51" s="109">
        <v>2422344</v>
      </c>
      <c r="E51" s="110">
        <v>2422344</v>
      </c>
      <c r="F51" s="110"/>
      <c r="G51" s="110"/>
      <c r="H51" s="110"/>
      <c r="I51" s="109"/>
      <c r="J51" s="109">
        <v>1842401</v>
      </c>
      <c r="K51" s="110">
        <v>1842401</v>
      </c>
      <c r="L51" s="110"/>
      <c r="M51" s="110"/>
      <c r="N51" s="110"/>
      <c r="O51" s="109"/>
      <c r="P51" s="109">
        <v>664005</v>
      </c>
      <c r="Q51" s="110">
        <v>664005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39889361</v>
      </c>
      <c r="AT51" s="113">
        <v>1331938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4355</v>
      </c>
      <c r="E56" s="122">
        <v>4403</v>
      </c>
      <c r="F56" s="122"/>
      <c r="G56" s="122"/>
      <c r="H56" s="122"/>
      <c r="I56" s="121"/>
      <c r="J56" s="121">
        <v>3193</v>
      </c>
      <c r="K56" s="122">
        <v>3156</v>
      </c>
      <c r="L56" s="122"/>
      <c r="M56" s="122"/>
      <c r="N56" s="122"/>
      <c r="O56" s="121"/>
      <c r="P56" s="121">
        <v>1403</v>
      </c>
      <c r="Q56" s="122">
        <v>1289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162811</v>
      </c>
      <c r="AT56" s="123">
        <v>41713</v>
      </c>
      <c r="AU56" s="123"/>
      <c r="AV56" s="123"/>
      <c r="AW56" s="309"/>
    </row>
    <row r="57" spans="2:49" x14ac:dyDescent="0.2">
      <c r="B57" s="161" t="s">
        <v>273</v>
      </c>
      <c r="C57" s="62" t="s">
        <v>25</v>
      </c>
      <c r="D57" s="124">
        <v>7199</v>
      </c>
      <c r="E57" s="125">
        <v>7383</v>
      </c>
      <c r="F57" s="125"/>
      <c r="G57" s="125"/>
      <c r="H57" s="125"/>
      <c r="I57" s="124"/>
      <c r="J57" s="124">
        <v>6475</v>
      </c>
      <c r="K57" s="125">
        <v>6362</v>
      </c>
      <c r="L57" s="125"/>
      <c r="M57" s="125"/>
      <c r="N57" s="125"/>
      <c r="O57" s="124"/>
      <c r="P57" s="124">
        <v>2380</v>
      </c>
      <c r="Q57" s="125">
        <v>2455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175872</v>
      </c>
      <c r="AT57" s="126">
        <v>71904</v>
      </c>
      <c r="AU57" s="126"/>
      <c r="AV57" s="126"/>
      <c r="AW57" s="310"/>
    </row>
    <row r="58" spans="2:49" x14ac:dyDescent="0.2">
      <c r="B58" s="161" t="s">
        <v>274</v>
      </c>
      <c r="C58" s="62" t="s">
        <v>26</v>
      </c>
      <c r="D58" s="330"/>
      <c r="E58" s="331"/>
      <c r="F58" s="331"/>
      <c r="G58" s="331"/>
      <c r="H58" s="331"/>
      <c r="I58" s="330"/>
      <c r="J58" s="124">
        <v>382</v>
      </c>
      <c r="K58" s="125">
        <v>382</v>
      </c>
      <c r="L58" s="125"/>
      <c r="M58" s="125"/>
      <c r="N58" s="125"/>
      <c r="O58" s="124"/>
      <c r="P58" s="124">
        <v>50</v>
      </c>
      <c r="Q58" s="125">
        <v>50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75</v>
      </c>
      <c r="AT58" s="126">
        <v>1548</v>
      </c>
      <c r="AU58" s="126"/>
      <c r="AV58" s="126"/>
      <c r="AW58" s="310"/>
    </row>
    <row r="59" spans="2:49" x14ac:dyDescent="0.2">
      <c r="B59" s="161" t="s">
        <v>275</v>
      </c>
      <c r="C59" s="62" t="s">
        <v>27</v>
      </c>
      <c r="D59" s="124">
        <v>101517</v>
      </c>
      <c r="E59" s="125">
        <v>101756</v>
      </c>
      <c r="F59" s="125"/>
      <c r="G59" s="125"/>
      <c r="H59" s="125"/>
      <c r="I59" s="124"/>
      <c r="J59" s="124">
        <v>82405</v>
      </c>
      <c r="K59" s="125">
        <v>81670</v>
      </c>
      <c r="L59" s="125"/>
      <c r="M59" s="125"/>
      <c r="N59" s="125"/>
      <c r="O59" s="124"/>
      <c r="P59" s="124">
        <v>29656</v>
      </c>
      <c r="Q59" s="125">
        <v>30420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2077599</v>
      </c>
      <c r="AT59" s="126">
        <v>653724</v>
      </c>
      <c r="AU59" s="126"/>
      <c r="AV59" s="126"/>
      <c r="AW59" s="310"/>
    </row>
    <row r="60" spans="2:49" x14ac:dyDescent="0.2">
      <c r="B60" s="161" t="s">
        <v>276</v>
      </c>
      <c r="C60" s="62"/>
      <c r="D60" s="127">
        <f t="shared" ref="D60:AC60" si="0">D$59/12</f>
        <v>8459.75</v>
      </c>
      <c r="E60" s="128">
        <f t="shared" si="0"/>
        <v>8479.6666666666661</v>
      </c>
      <c r="F60" s="128">
        <f t="shared" si="0"/>
        <v>0</v>
      </c>
      <c r="G60" s="128">
        <f t="shared" si="0"/>
        <v>0</v>
      </c>
      <c r="H60" s="128">
        <f t="shared" si="0"/>
        <v>0</v>
      </c>
      <c r="I60" s="127">
        <f t="shared" si="0"/>
        <v>0</v>
      </c>
      <c r="J60" s="127">
        <f t="shared" si="0"/>
        <v>6867.083333333333</v>
      </c>
      <c r="K60" s="128">
        <f t="shared" si="0"/>
        <v>6805.833333333333</v>
      </c>
      <c r="L60" s="128">
        <f t="shared" si="0"/>
        <v>0</v>
      </c>
      <c r="M60" s="128">
        <f t="shared" si="0"/>
        <v>0</v>
      </c>
      <c r="N60" s="128">
        <f t="shared" si="0"/>
        <v>0</v>
      </c>
      <c r="O60" s="127">
        <f t="shared" si="0"/>
        <v>0</v>
      </c>
      <c r="P60" s="127">
        <f t="shared" si="0"/>
        <v>2471.3333333333335</v>
      </c>
      <c r="Q60" s="128">
        <f t="shared" si="0"/>
        <v>2535</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173133.25</v>
      </c>
      <c r="AT60" s="129">
        <f>AT$59/12</f>
        <v>54477</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19095235</v>
      </c>
      <c r="E5" s="118">
        <v>18662585.779999901</v>
      </c>
      <c r="F5" s="118"/>
      <c r="G5" s="130"/>
      <c r="H5" s="130"/>
      <c r="I5" s="117"/>
      <c r="J5" s="117">
        <v>27199324</v>
      </c>
      <c r="K5" s="118">
        <v>26976525.689243298</v>
      </c>
      <c r="L5" s="118"/>
      <c r="M5" s="118"/>
      <c r="N5" s="118"/>
      <c r="O5" s="117"/>
      <c r="P5" s="117">
        <v>8645063</v>
      </c>
      <c r="Q5" s="118">
        <v>8843149.4845107999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766868339</v>
      </c>
      <c r="AT5" s="119">
        <v>16910600</v>
      </c>
      <c r="AU5" s="119"/>
      <c r="AV5" s="312"/>
      <c r="AW5" s="317"/>
    </row>
    <row r="6" spans="2:49" x14ac:dyDescent="0.2">
      <c r="B6" s="176" t="s">
        <v>279</v>
      </c>
      <c r="C6" s="133" t="s">
        <v>8</v>
      </c>
      <c r="D6" s="109">
        <v>77440</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35265</v>
      </c>
      <c r="AU6" s="113"/>
      <c r="AV6" s="311"/>
      <c r="AW6" s="318"/>
    </row>
    <row r="7" spans="2:49" x14ac:dyDescent="0.2">
      <c r="B7" s="176" t="s">
        <v>280</v>
      </c>
      <c r="C7" s="133" t="s">
        <v>9</v>
      </c>
      <c r="D7" s="109">
        <v>55502</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118016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0.68999999389052391</v>
      </c>
      <c r="E9" s="288"/>
      <c r="F9" s="288"/>
      <c r="G9" s="288"/>
      <c r="H9" s="288"/>
      <c r="I9" s="292"/>
      <c r="J9" s="109">
        <v>-398838.63999999873</v>
      </c>
      <c r="K9" s="288"/>
      <c r="L9" s="288"/>
      <c r="M9" s="288"/>
      <c r="N9" s="288"/>
      <c r="O9" s="292"/>
      <c r="P9" s="109">
        <v>398839.12999999977</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0.47999999998137355</v>
      </c>
      <c r="E11" s="110"/>
      <c r="F11" s="110"/>
      <c r="G11" s="110"/>
      <c r="H11" s="110"/>
      <c r="I11" s="109"/>
      <c r="J11" s="109">
        <v>0.18000000016763806</v>
      </c>
      <c r="K11" s="110"/>
      <c r="L11" s="110"/>
      <c r="M11" s="110"/>
      <c r="N11" s="110"/>
      <c r="O11" s="109"/>
      <c r="P11" s="109">
        <v>-0.36999999987892807</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-13991724</v>
      </c>
      <c r="AT11" s="113"/>
      <c r="AU11" s="113"/>
      <c r="AV11" s="311"/>
      <c r="AW11" s="318"/>
    </row>
    <row r="12" spans="2:49" x14ac:dyDescent="0.2">
      <c r="B12" s="176" t="s">
        <v>283</v>
      </c>
      <c r="C12" s="133" t="s">
        <v>44</v>
      </c>
      <c r="D12" s="109">
        <v>0.27999999397434294</v>
      </c>
      <c r="E12" s="289"/>
      <c r="F12" s="289"/>
      <c r="G12" s="289"/>
      <c r="H12" s="289"/>
      <c r="I12" s="293"/>
      <c r="J12" s="109">
        <v>0.12000000104308128</v>
      </c>
      <c r="K12" s="289"/>
      <c r="L12" s="289"/>
      <c r="M12" s="289"/>
      <c r="N12" s="289"/>
      <c r="O12" s="293"/>
      <c r="P12" s="109">
        <v>0.12000000011175871</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-12601771</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698246.1100000001</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884115.01</v>
      </c>
      <c r="F16" s="110"/>
      <c r="G16" s="110"/>
      <c r="H16" s="110"/>
      <c r="I16" s="109"/>
      <c r="J16" s="109"/>
      <c r="K16" s="110">
        <f>-107913.09+62.09</f>
        <v>-107851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110794</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-138741</v>
      </c>
      <c r="AU19" s="113"/>
      <c r="AV19" s="311"/>
      <c r="AW19" s="318"/>
    </row>
    <row r="20" spans="2:49" s="5" customFormat="1" ht="25.5" x14ac:dyDescent="0.2">
      <c r="B20" s="178" t="s">
        <v>485</v>
      </c>
      <c r="C20" s="133"/>
      <c r="D20" s="109"/>
      <c r="E20" s="110">
        <v>1442.43</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13733829</v>
      </c>
      <c r="E23" s="288"/>
      <c r="F23" s="288"/>
      <c r="G23" s="288"/>
      <c r="H23" s="288"/>
      <c r="I23" s="292"/>
      <c r="J23" s="109">
        <v>18496024</v>
      </c>
      <c r="K23" s="288"/>
      <c r="L23" s="288"/>
      <c r="M23" s="288"/>
      <c r="N23" s="288"/>
      <c r="O23" s="292"/>
      <c r="P23" s="109">
        <v>5433361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625721564</v>
      </c>
      <c r="AT23" s="113">
        <v>8891580</v>
      </c>
      <c r="AU23" s="113"/>
      <c r="AV23" s="311"/>
      <c r="AW23" s="318"/>
    </row>
    <row r="24" spans="2:49" ht="28.5" customHeight="1" x14ac:dyDescent="0.2">
      <c r="B24" s="178" t="s">
        <v>114</v>
      </c>
      <c r="C24" s="133"/>
      <c r="D24" s="293"/>
      <c r="E24" s="110">
        <v>14687030.939000001</v>
      </c>
      <c r="F24" s="110"/>
      <c r="G24" s="110"/>
      <c r="H24" s="110"/>
      <c r="I24" s="109"/>
      <c r="J24" s="293"/>
      <c r="K24" s="110">
        <v>18358517.250000004</v>
      </c>
      <c r="L24" s="110"/>
      <c r="M24" s="110"/>
      <c r="N24" s="110"/>
      <c r="O24" s="109"/>
      <c r="P24" s="293"/>
      <c r="Q24" s="110">
        <v>5237761.99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2108053</v>
      </c>
      <c r="E26" s="288"/>
      <c r="F26" s="288"/>
      <c r="G26" s="288"/>
      <c r="H26" s="288"/>
      <c r="I26" s="292"/>
      <c r="J26" s="109">
        <v>2356527</v>
      </c>
      <c r="K26" s="288"/>
      <c r="L26" s="288"/>
      <c r="M26" s="288"/>
      <c r="N26" s="288"/>
      <c r="O26" s="292"/>
      <c r="P26" s="109">
        <v>742618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61464758</v>
      </c>
      <c r="AT26" s="113">
        <v>1598180</v>
      </c>
      <c r="AU26" s="113"/>
      <c r="AV26" s="311"/>
      <c r="AW26" s="318"/>
    </row>
    <row r="27" spans="2:49" s="5" customFormat="1" ht="25.5" x14ac:dyDescent="0.2">
      <c r="B27" s="178" t="s">
        <v>85</v>
      </c>
      <c r="C27" s="133"/>
      <c r="D27" s="293"/>
      <c r="E27" s="110">
        <v>266366.52850000019</v>
      </c>
      <c r="F27" s="110"/>
      <c r="G27" s="110"/>
      <c r="H27" s="110"/>
      <c r="I27" s="109"/>
      <c r="J27" s="293"/>
      <c r="K27" s="110">
        <v>321291.49626011279</v>
      </c>
      <c r="L27" s="110"/>
      <c r="M27" s="110"/>
      <c r="N27" s="110"/>
      <c r="O27" s="109"/>
      <c r="P27" s="293"/>
      <c r="Q27" s="110">
        <v>100630.83663988751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2005984.0000000002</v>
      </c>
      <c r="E28" s="289"/>
      <c r="F28" s="289"/>
      <c r="G28" s="289"/>
      <c r="H28" s="289"/>
      <c r="I28" s="293"/>
      <c r="J28" s="109">
        <v>2603821</v>
      </c>
      <c r="K28" s="289"/>
      <c r="L28" s="289"/>
      <c r="M28" s="289"/>
      <c r="N28" s="289"/>
      <c r="O28" s="293"/>
      <c r="P28" s="109">
        <v>622551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62000805</v>
      </c>
      <c r="AT28" s="113">
        <v>955211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8386</v>
      </c>
      <c r="K30" s="288"/>
      <c r="L30" s="288"/>
      <c r="M30" s="288"/>
      <c r="N30" s="288"/>
      <c r="O30" s="292"/>
      <c r="P30" s="109">
        <v>112</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272258</v>
      </c>
      <c r="AU30" s="113"/>
      <c r="AV30" s="311"/>
      <c r="AW30" s="318"/>
    </row>
    <row r="31" spans="2:49" s="5" customFormat="1" ht="25.5" x14ac:dyDescent="0.2">
      <c r="B31" s="178" t="s">
        <v>84</v>
      </c>
      <c r="C31" s="133"/>
      <c r="D31" s="293"/>
      <c r="E31" s="110"/>
      <c r="F31" s="110"/>
      <c r="G31" s="110"/>
      <c r="H31" s="110"/>
      <c r="I31" s="109"/>
      <c r="J31" s="293"/>
      <c r="K31" s="110">
        <v>7722.52</v>
      </c>
      <c r="L31" s="110"/>
      <c r="M31" s="110"/>
      <c r="N31" s="110"/>
      <c r="O31" s="109"/>
      <c r="P31" s="293"/>
      <c r="Q31" s="110">
        <v>-8408.0300000000007</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9183</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287244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3251808</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3251808</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3750803</v>
      </c>
      <c r="E36" s="110">
        <v>3750803</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1241022</v>
      </c>
      <c r="E38" s="288"/>
      <c r="F38" s="288"/>
      <c r="G38" s="288"/>
      <c r="H38" s="288"/>
      <c r="I38" s="292"/>
      <c r="J38" s="109">
        <v>1806820</v>
      </c>
      <c r="K38" s="288"/>
      <c r="L38" s="288"/>
      <c r="M38" s="288"/>
      <c r="N38" s="288"/>
      <c r="O38" s="292"/>
      <c r="P38" s="109">
        <v>109672</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-787995</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948873</v>
      </c>
      <c r="E41" s="288"/>
      <c r="F41" s="288"/>
      <c r="G41" s="288"/>
      <c r="H41" s="288"/>
      <c r="I41" s="292"/>
      <c r="J41" s="109">
        <v>2446136</v>
      </c>
      <c r="K41" s="288"/>
      <c r="L41" s="288"/>
      <c r="M41" s="288"/>
      <c r="N41" s="288"/>
      <c r="O41" s="292"/>
      <c r="P41" s="109">
        <v>1432592</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-13991724</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1254247</v>
      </c>
      <c r="E43" s="289"/>
      <c r="F43" s="289"/>
      <c r="G43" s="289"/>
      <c r="H43" s="289"/>
      <c r="I43" s="293"/>
      <c r="J43" s="109">
        <v>1834800</v>
      </c>
      <c r="K43" s="289"/>
      <c r="L43" s="289"/>
      <c r="M43" s="289"/>
      <c r="N43" s="289"/>
      <c r="O43" s="293"/>
      <c r="P43" s="109">
        <v>600069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-12601771</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22393</v>
      </c>
      <c r="E49" s="110">
        <v>89846.489999999991</v>
      </c>
      <c r="F49" s="110"/>
      <c r="G49" s="110"/>
      <c r="H49" s="110"/>
      <c r="I49" s="109"/>
      <c r="J49" s="109">
        <v>69689</v>
      </c>
      <c r="K49" s="110">
        <v>230714.20461545978</v>
      </c>
      <c r="L49" s="110"/>
      <c r="M49" s="110"/>
      <c r="N49" s="110"/>
      <c r="O49" s="109"/>
      <c r="P49" s="109">
        <v>14266</v>
      </c>
      <c r="Q49" s="110">
        <v>83470.615384539822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11677350</v>
      </c>
      <c r="AT49" s="113">
        <v>423</v>
      </c>
      <c r="AU49" s="113"/>
      <c r="AV49" s="311"/>
      <c r="AW49" s="318"/>
    </row>
    <row r="50" spans="2:49" x14ac:dyDescent="0.2">
      <c r="B50" s="176" t="s">
        <v>119</v>
      </c>
      <c r="C50" s="133" t="s">
        <v>34</v>
      </c>
      <c r="D50" s="109">
        <v>21725</v>
      </c>
      <c r="E50" s="289"/>
      <c r="F50" s="289"/>
      <c r="G50" s="289"/>
      <c r="H50" s="289"/>
      <c r="I50" s="293"/>
      <c r="J50" s="109">
        <v>45405</v>
      </c>
      <c r="K50" s="289"/>
      <c r="L50" s="289"/>
      <c r="M50" s="289"/>
      <c r="N50" s="289"/>
      <c r="O50" s="293"/>
      <c r="P50" s="109">
        <v>24723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6551396</v>
      </c>
      <c r="AT50" s="113">
        <v>-10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3389</v>
      </c>
      <c r="L53" s="110"/>
      <c r="M53" s="110"/>
      <c r="N53" s="110"/>
      <c r="O53" s="109"/>
      <c r="P53" s="109"/>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14271883</v>
      </c>
      <c r="E54" s="115">
        <f>E24+E27+E31+E35-E36+E39+E42+E45+E46-E49+E51+E52+E53</f>
        <v>14364555.977500001</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20641805</v>
      </c>
      <c r="K54" s="115">
        <f>K24+K27+K31+K35-K36+K39+K42+K45+K46-K49+K51+K52+K53</f>
        <v>18460206.061644658</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6506192</v>
      </c>
      <c r="Q54" s="115">
        <f>Q24+Q27+Q31+Q35-Q36+Q39+Q42+Q45+Q46-Q49+Q51+Q52+Q53</f>
        <v>5246514.181255348</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617881615</v>
      </c>
      <c r="AT54" s="116">
        <f>AT23+AT26-AT28+AT30-AT32+AT34-AT36+AT38+AT41-AT43+AT45+AT46-AT47-AT49+AT50+AT51+AT52+AT53</f>
        <v>9519130</v>
      </c>
      <c r="AU54" s="116">
        <f>AU23+AU26-AU28+AU30-AU32+AU34-AU36+AU38+AU41-AU43+AU45+AU46-AU47-AU49+AU50+AU51+AU52+AU53</f>
        <v>0</v>
      </c>
      <c r="AV54" s="311"/>
      <c r="AW54" s="318"/>
    </row>
    <row r="55" spans="2:49" ht="25.5" x14ac:dyDescent="0.2">
      <c r="B55" s="181" t="s">
        <v>304</v>
      </c>
      <c r="C55" s="137" t="s">
        <v>28</v>
      </c>
      <c r="D55" s="114">
        <f t="shared" ref="D55:AC55" si="0">MIN(MAX(0,D56),MAX(0,D57))</f>
        <v>10437</v>
      </c>
      <c r="E55" s="115">
        <f t="shared" si="0"/>
        <v>10437</v>
      </c>
      <c r="F55" s="115">
        <f t="shared" si="0"/>
        <v>0</v>
      </c>
      <c r="G55" s="115">
        <f t="shared" si="0"/>
        <v>0</v>
      </c>
      <c r="H55" s="115">
        <f t="shared" si="0"/>
        <v>0</v>
      </c>
      <c r="I55" s="114">
        <f t="shared" si="0"/>
        <v>0</v>
      </c>
      <c r="J55" s="114">
        <f t="shared" si="0"/>
        <v>29704</v>
      </c>
      <c r="K55" s="115">
        <f t="shared" si="0"/>
        <v>29704</v>
      </c>
      <c r="L55" s="115">
        <f t="shared" si="0"/>
        <v>0</v>
      </c>
      <c r="M55" s="115">
        <f t="shared" si="0"/>
        <v>0</v>
      </c>
      <c r="N55" s="115">
        <f t="shared" si="0"/>
        <v>0</v>
      </c>
      <c r="O55" s="114">
        <f t="shared" si="0"/>
        <v>0</v>
      </c>
      <c r="P55" s="114">
        <f t="shared" si="0"/>
        <v>458</v>
      </c>
      <c r="Q55" s="115">
        <f t="shared" si="0"/>
        <v>458</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35524</v>
      </c>
      <c r="E56" s="110">
        <v>35524</v>
      </c>
      <c r="F56" s="110"/>
      <c r="G56" s="110"/>
      <c r="H56" s="110"/>
      <c r="I56" s="109"/>
      <c r="J56" s="109">
        <v>61427</v>
      </c>
      <c r="K56" s="110">
        <v>61427</v>
      </c>
      <c r="L56" s="110"/>
      <c r="M56" s="110"/>
      <c r="N56" s="110"/>
      <c r="O56" s="109"/>
      <c r="P56" s="109">
        <v>23368</v>
      </c>
      <c r="Q56" s="110">
        <v>23368</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10437</v>
      </c>
      <c r="E57" s="110">
        <v>10437</v>
      </c>
      <c r="F57" s="110"/>
      <c r="G57" s="110"/>
      <c r="H57" s="110"/>
      <c r="I57" s="109"/>
      <c r="J57" s="109">
        <v>29704</v>
      </c>
      <c r="K57" s="110">
        <v>29704</v>
      </c>
      <c r="L57" s="110"/>
      <c r="M57" s="110"/>
      <c r="N57" s="110"/>
      <c r="O57" s="109"/>
      <c r="P57" s="109">
        <v>458</v>
      </c>
      <c r="Q57" s="110">
        <v>458</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12031686</v>
      </c>
      <c r="AT57" s="113">
        <v>18367</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9646984.2799999993</v>
      </c>
      <c r="D5" s="118">
        <v>12340407.1461</v>
      </c>
      <c r="E5" s="346"/>
      <c r="F5" s="346"/>
      <c r="G5" s="312"/>
      <c r="H5" s="117">
        <v>21897363.960000001</v>
      </c>
      <c r="I5" s="118">
        <v>18892230.698698964</v>
      </c>
      <c r="J5" s="346"/>
      <c r="K5" s="346"/>
      <c r="L5" s="312"/>
      <c r="M5" s="117">
        <v>7876045.96</v>
      </c>
      <c r="N5" s="118">
        <v>6816645.2419010336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9659322.6099999994</v>
      </c>
      <c r="D6" s="110">
        <v>12490996.228600001</v>
      </c>
      <c r="E6" s="115">
        <f>SUM('Pt 1 Summary of Data'!E$12,'Pt 1 Summary of Data'!E$22)+SUM('Pt 1 Summary of Data'!G$12,'Pt 1 Summary of Data'!G$22)-SUM('Pt 1 Summary of Data'!H$12,'Pt 1 Summary of Data'!H$22)</f>
        <v>14374992.977500001</v>
      </c>
      <c r="F6" s="115">
        <f t="shared" ref="F6:F11" si="0">SUM(C6:E6)</f>
        <v>36525311.816100001</v>
      </c>
      <c r="G6" s="116">
        <f>SUM('Pt 1 Summary of Data'!I$12,'Pt 1 Summary of Data'!I$22)</f>
        <v>0</v>
      </c>
      <c r="H6" s="109">
        <v>22551030.995807376</v>
      </c>
      <c r="I6" s="110">
        <v>18729560.900688957</v>
      </c>
      <c r="J6" s="115">
        <f>SUM('Pt 1 Summary of Data'!K$12,'Pt 1 Summary of Data'!K$22)+SUM('Pt 1 Summary of Data'!M$12,'Pt 1 Summary of Data'!M$22)-SUM('Pt 1 Summary of Data'!N$12,'Pt 1 Summary of Data'!N$22)</f>
        <v>18489910.061644658</v>
      </c>
      <c r="K6" s="115">
        <f>SUM(H6:J6)</f>
        <v>59770501.958140992</v>
      </c>
      <c r="L6" s="116">
        <f>SUM('Pt 1 Summary of Data'!O$12,'Pt 1 Summary of Data'!O$22)</f>
        <v>0</v>
      </c>
      <c r="M6" s="109">
        <v>7176969.4241926214</v>
      </c>
      <c r="N6" s="110">
        <v>6889318.5246110382</v>
      </c>
      <c r="O6" s="115">
        <f>SUM('Pt 1 Summary of Data'!Q$12,'Pt 1 Summary of Data'!Q$22)+SUM('Pt 1 Summary of Data'!S$12,'Pt 1 Summary of Data'!S$22)-SUM('Pt 1 Summary of Data'!T$12,'Pt 1 Summary of Data'!T$22)</f>
        <v>5246972.181255348</v>
      </c>
      <c r="P6" s="115">
        <f>SUM(M6:O6)</f>
        <v>19313260.130059008</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259826.06000000003</v>
      </c>
      <c r="D7" s="110">
        <v>416506.45</v>
      </c>
      <c r="E7" s="115">
        <f>SUM('Pt 1 Summary of Data'!E$37:E$41)+SUM('Pt 1 Summary of Data'!G$37:G$41)-SUM('Pt 1 Summary of Data'!H$37:H$41)+MAX(0,MIN('Pt 1 Summary of Data'!E$42+'Pt 1 Summary of Data'!G$42-'Pt 1 Summary of Data'!H$42,0.3%*('Pt 1 Summary of Data'!E$5+'Pt 1 Summary of Data'!G$5-'Pt 1 Summary of Data'!H$5-SUM(E$9:E$11))))</f>
        <v>358059.14</v>
      </c>
      <c r="F7" s="115">
        <f t="shared" si="0"/>
        <v>1034391.65</v>
      </c>
      <c r="G7" s="116">
        <f>SUM('Pt 1 Summary of Data'!I$37:I$41)+MAX(0,MIN('Pt 1 Summary of Data'!I$42,0.3%*('Pt 1 Summary of Data'!I$5-SUM(G$9:G$10))))</f>
        <v>0</v>
      </c>
      <c r="H7" s="109">
        <v>794701.41999999993</v>
      </c>
      <c r="I7" s="110">
        <v>669788.18000000005</v>
      </c>
      <c r="J7" s="115">
        <f>SUM('Pt 1 Summary of Data'!K$37:K$41)+SUM('Pt 1 Summary of Data'!M$37:M$41)-SUM('Pt 1 Summary of Data'!N$37:N$41)+MAX(0,MIN('Pt 1 Summary of Data'!K$42+'Pt 1 Summary of Data'!M$42-'Pt 1 Summary of Data'!N$42,0.3%*('Pt 1 Summary of Data'!K$5+'Pt 1 Summary of Data'!M$5-'Pt 1 Summary of Data'!N$5-SUM(J$10:J$11))))</f>
        <v>545803.4800000001</v>
      </c>
      <c r="K7" s="115">
        <f>SUM(H7:J7)</f>
        <v>2010293.08</v>
      </c>
      <c r="L7" s="116">
        <f>SUM('Pt 1 Summary of Data'!O$37:O$41)+MAX(0,MIN('Pt 1 Summary of Data'!O$42,0.3%*('Pt 1 Summary of Data'!O$5-L$10)))</f>
        <v>0</v>
      </c>
      <c r="M7" s="109">
        <v>268599.92</v>
      </c>
      <c r="N7" s="110">
        <v>230534.57999999996</v>
      </c>
      <c r="O7" s="115">
        <f>SUM('Pt 1 Summary of Data'!Q$37:Q$41)+SUM('Pt 1 Summary of Data'!S$37:S$41)-SUM('Pt 1 Summary of Data'!T$37:T$41)+MAX(0,MIN('Pt 1 Summary of Data'!Q$42+'Pt 1 Summary of Data'!S$42-'Pt 1 Summary of Data'!T$42,0.3%*('Pt 1 Summary of Data'!Q$5+'Pt 1 Summary of Data'!S$5-'Pt 1 Summary of Data'!T$5)))</f>
        <v>199999.28999999995</v>
      </c>
      <c r="P7" s="115">
        <f>SUM(M7:O7)</f>
        <v>699133.78999999992</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698246.1100000001</v>
      </c>
      <c r="F9" s="115">
        <f t="shared" si="0"/>
        <v>698246.1100000001</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884115.01</v>
      </c>
      <c r="F10" s="115">
        <f t="shared" si="0"/>
        <v>884115.01</v>
      </c>
      <c r="G10" s="116">
        <f>'Pt 2 Premium and Claims'!I$16</f>
        <v>0</v>
      </c>
      <c r="H10" s="292"/>
      <c r="I10" s="288"/>
      <c r="J10" s="115">
        <f>'Pt 2 Premium and Claims'!K$16+'Pt 2 Premium and Claims'!M$16-'Pt 2 Premium and Claims'!N$16</f>
        <v>-107851</v>
      </c>
      <c r="K10" s="115">
        <f>SUM(H10:J10)</f>
        <v>-107851</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9919148.6699999999</v>
      </c>
      <c r="D12" s="115">
        <f>SUM(D$6:D$7)+IF(AND(OR('Company Information'!$C$12="District of Columbia",'Company Information'!$C$12="Massachusetts",'Company Information'!$C$12="Vermont"),SUM($C$6:$F$11,$C$15:$F$16,$C$37:$D$37)&lt;&gt;0),SUM(I$6:I$7),0)</f>
        <v>12907502.6786</v>
      </c>
      <c r="E12" s="115">
        <f>SUM(E$6:E$7)-SUM(E$8:E$11)+IF(AND(OR('Company Information'!$C$12="District of Columbia",'Company Information'!$C$12="Massachusetts",'Company Information'!$C$12="Vermont"),SUM($C$6:$F$11,$C$15:$F$16,$C$37:$D$37)&lt;&gt;0),SUM(J$6:J$7)-SUM(J$10:J$11),0)</f>
        <v>13150690.997500002</v>
      </c>
      <c r="F12" s="115">
        <f>IFERROR(SUM(C$12:E$12)+C$17*MAX(0,E$49-C$49)+D$17*MAX(0,E$49-D$49),0)</f>
        <v>35977342.346100003</v>
      </c>
      <c r="G12" s="311"/>
      <c r="H12" s="114">
        <f>SUM(H$6:H$7)+IF(AND(OR('Company Information'!$C$12="District of Columbia",'Company Information'!$C$12="Massachusetts",'Company Information'!$C$12="Vermont"),SUM($H$6:$K$11,$H$15:$K$16,$H$37:$I$37)&lt;&gt;0),SUM(C$6:C$7),0)</f>
        <v>23345732.415807374</v>
      </c>
      <c r="I12" s="115">
        <f>SUM(I$6:I$7)+IF(AND(OR('Company Information'!$C$12="District of Columbia",'Company Information'!$C$12="Massachusetts",'Company Information'!$C$12="Vermont"),SUM($H$6:$K$11,$H$15:$K$16,$H$37:$I$37)&lt;&gt;0),SUM(D$6:D$7),0)</f>
        <v>19399349.080688957</v>
      </c>
      <c r="J12" s="115">
        <f>SUM(J$6:J$7)-SUM(J$10:J$11)+IF(AND(OR('Company Information'!$C$12="District of Columbia",'Company Information'!$C$12="Massachusetts",'Company Information'!$C$12="Vermont"),SUM($H$6:$K$11,$H$15:$K$16,$H$37:$I$37)&lt;&gt;0),SUM(E$6:E$7)-SUM(E$8:E$11),0)</f>
        <v>19143564.541644659</v>
      </c>
      <c r="K12" s="115">
        <f>IFERROR(SUM(H$12:J$12)+H$17*MAX(0,J$49-H$49)+I$17*MAX(0,J$49-I$49),0)</f>
        <v>61888646.038140997</v>
      </c>
      <c r="L12" s="311"/>
      <c r="M12" s="114">
        <f>SUM(M$6:M$7)</f>
        <v>7445569.3441926213</v>
      </c>
      <c r="N12" s="115">
        <f>SUM(N$6:N$7)</f>
        <v>7119853.1046110382</v>
      </c>
      <c r="O12" s="115">
        <f>SUM(O$6:O$7)</f>
        <v>5446971.4712553481</v>
      </c>
      <c r="P12" s="115">
        <f>SUM(M$12:O$12)+M$17*MAX(0,O$49-M$49)+N$17*MAX(0,O$49-N$49)</f>
        <v>20012393.920059007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18156257.109999999</v>
      </c>
      <c r="D15" s="118">
        <v>17957231.177819751</v>
      </c>
      <c r="E15" s="106">
        <f>SUM('Pt 1 Summary of Data'!E$5:E$7)+SUM('Pt 1 Summary of Data'!G$5:G$7)-SUM('Pt 1 Summary of Data'!H$5:H$7)-SUM(E$9:E$11)+D$55</f>
        <v>18898042.412180148</v>
      </c>
      <c r="F15" s="106">
        <f>SUM(C15:E15)</f>
        <v>55011530.699999899</v>
      </c>
      <c r="G15" s="107">
        <f>SUM('Pt 1 Summary of Data'!I$5:I$7)-SUM(G$9:G$10)</f>
        <v>0</v>
      </c>
      <c r="H15" s="117">
        <v>34541501.630000003</v>
      </c>
      <c r="I15" s="118">
        <v>29269758.750545096</v>
      </c>
      <c r="J15" s="106">
        <f>SUM('Pt 1 Summary of Data'!K$5:K$7)+SUM('Pt 1 Summary of Data'!M$5:M$7)-SUM('Pt 1 Summary of Data'!N$5:N$7)-SUM(J$10:J$11)+I$55</f>
        <v>27025250.764979299</v>
      </c>
      <c r="K15" s="106">
        <f>SUM(H15:J15)</f>
        <v>90836511.145524397</v>
      </c>
      <c r="L15" s="107">
        <f>SUM('Pt 1 Summary of Data'!O$5:O$7)-L$10</f>
        <v>0</v>
      </c>
      <c r="M15" s="117">
        <v>11964121.25</v>
      </c>
      <c r="N15" s="118">
        <v>9856680.9801864997</v>
      </c>
      <c r="O15" s="106">
        <f>SUM('Pt 1 Summary of Data'!Q$5:Q$7)+SUM('Pt 1 Summary of Data'!S$5:S$7)-SUM('Pt 1 Summary of Data'!T$5:T$7)+N$55</f>
        <v>8854911.8062207997</v>
      </c>
      <c r="P15" s="106">
        <f>SUM(M15:O15)</f>
        <v>30675714.036407299</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1377268</v>
      </c>
      <c r="D16" s="110">
        <v>478052.44850683969</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1125620.2576171602</v>
      </c>
      <c r="F16" s="115">
        <f>SUM(C16:E16)</f>
        <v>2980940.7061239998</v>
      </c>
      <c r="G16" s="116">
        <f>SUM('Pt 1 Summary of Data'!I$25:I$28,'Pt 1 Summary of Data'!I$30,'Pt 1 Summary of Data'!I$34:I$35)+IF('Company Information'!$C$15="No",IF(MAX('Pt 1 Summary of Data'!I$31:I$32)=0,MIN('Pt 1 Summary of Data'!I$31:I$32),MAX('Pt 1 Summary of Data'!I$31:I$32)),SUM('Pt 1 Summary of Data'!I$31:I$32))</f>
        <v>0</v>
      </c>
      <c r="H16" s="109">
        <v>1832396</v>
      </c>
      <c r="I16" s="110">
        <v>1662284.5994247959</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2301124.0045152036</v>
      </c>
      <c r="K16" s="115">
        <f>SUM(H16:J16)</f>
        <v>5795804.6039399998</v>
      </c>
      <c r="L16" s="116">
        <f>SUM('Pt 1 Summary of Data'!O$25:O$28,'Pt 1 Summary of Data'!O$30,'Pt 1 Summary of Data'!O$34:O$35)+IF('Company Information'!$C$15="No",IF(MAX('Pt 1 Summary of Data'!O$31:O$32)=0,MIN('Pt 1 Summary of Data'!O$31:O$32),MAX('Pt 1 Summary of Data'!O$31:O$32)),SUM('Pt 1 Summary of Data'!O$31:O$32))</f>
        <v>0</v>
      </c>
      <c r="M16" s="109">
        <v>1320139</v>
      </c>
      <c r="N16" s="110">
        <v>611026.57835421781</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728927.19836578215</v>
      </c>
      <c r="P16" s="115">
        <f>SUM(M16:O16)</f>
        <v>2660092.77672</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16778989.109999999</v>
      </c>
      <c r="D17" s="115">
        <f>D$15-D$16+IF(AND(OR('Company Information'!$C$12="District of Columbia",'Company Information'!$C$12="Massachusetts",'Company Information'!$C$12="Vermont"),SUM($C$6:$F$11,$C$15:$F$16,$C$37:$D$37)&lt;&gt;0),I$15-I$16,0)</f>
        <v>17479178.729312912</v>
      </c>
      <c r="E17" s="115">
        <f>E$15-E$16+IF(AND(OR('Company Information'!$C$12="District of Columbia",'Company Information'!$C$12="Massachusetts",'Company Information'!$C$12="Vermont"),SUM($C$6:$F$11,$C$15:$F$16,$C$37:$D$37)&lt;&gt;0),J$15-J$16,0)</f>
        <v>17772422.154562987</v>
      </c>
      <c r="F17" s="115">
        <f>F$15-F$16+IF(AND(OR('Company Information'!$C$12="District of Columbia",'Company Information'!$C$12="Massachusetts",'Company Information'!$C$12="Vermont"),SUM($C$6:$F$11,$C$15:$F$16,$C$37:$D$37)&lt;&gt;0),K$15-K$16,0)</f>
        <v>52030589.993875898</v>
      </c>
      <c r="G17" s="314"/>
      <c r="H17" s="114">
        <f>H$15-H$16+IF(AND(OR('Company Information'!$C$12="District of Columbia",'Company Information'!$C$12="Massachusetts",'Company Information'!$C$12="Vermont"),SUM($H$6:$K$11,$H$15:$K$16,$H$37:$I$37)&lt;&gt;0),C$15-C$16,0)</f>
        <v>32709105.630000003</v>
      </c>
      <c r="I17" s="115">
        <f>I$15-I$16+IF(AND(OR('Company Information'!$C$12="District of Columbia",'Company Information'!$C$12="Massachusetts",'Company Information'!$C$12="Vermont"),SUM($H$6:$K$11,$H$15:$K$16,$H$37:$I$37)&lt;&gt;0),D$15-D$16,0)</f>
        <v>27607474.151120301</v>
      </c>
      <c r="J17" s="115">
        <f>J$15-J$16+IF(AND(OR('Company Information'!$C$12="District of Columbia",'Company Information'!$C$12="Massachusetts",'Company Information'!$C$12="Vermont"),SUM($H$6:$K$11,$H$15:$K$16,$H$37:$I$37)&lt;&gt;0),E$15-E$16,0)</f>
        <v>24724126.760464095</v>
      </c>
      <c r="K17" s="115">
        <f>K$15-K$16+IF(AND(OR('Company Information'!$C$12="District of Columbia",'Company Information'!$C$12="Massachusetts",'Company Information'!$C$12="Vermont"),SUM($H$6:$K$11,$H$15:$K$16,$H$37:$I$37)&lt;&gt;0),F$15-F$16,0)</f>
        <v>85040706.541584402</v>
      </c>
      <c r="L17" s="314"/>
      <c r="M17" s="114">
        <f>M$15-M$16</f>
        <v>10643982.25</v>
      </c>
      <c r="N17" s="115">
        <f>N$15-N$16</f>
        <v>9245654.4018322825</v>
      </c>
      <c r="O17" s="115">
        <f>O$15-O$16</f>
        <v>8125984.6078550173</v>
      </c>
      <c r="P17" s="115">
        <f>P$15-P$16</f>
        <v>28015621.259687301</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8839.5</v>
      </c>
      <c r="D37" s="122">
        <v>8755</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8479.6666666666661</v>
      </c>
      <c r="F37" s="256">
        <f>SUM(C$37:E$37)+IF(AND(OR('Company Information'!$C$12="District of Columbia",'Company Information'!$C$12="Massachusetts",'Company Information'!$C$12="Vermont"),SUM($C$6:$F$11,$C$15:$F$16,$C$37:$D$37)&lt;&gt;0,SUM(C$37:D$37)&lt;&gt;SUM(H$37:I$37)),SUM(H$37:I$37),0)</f>
        <v>26074.166666666664</v>
      </c>
      <c r="G37" s="312"/>
      <c r="H37" s="121">
        <v>9896.0833333333339</v>
      </c>
      <c r="I37" s="122">
        <v>7903</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6805.833333333333</v>
      </c>
      <c r="K37" s="256">
        <f>SUM(H$37:J$37)+IF(AND(OR('Company Information'!$C$12="District of Columbia",'Company Information'!$C$12="Massachusetts",'Company Information'!$C$12="Vermont"),SUM($H$6:$K$11,$H$15:$K$16,$H$37:$I$37)&lt;&gt;0,SUM(H$37:I$37)&lt;&gt;SUM(C$37:D$37)),SUM(C$37:D$37),0)</f>
        <v>24604.916666666668</v>
      </c>
      <c r="L37" s="312"/>
      <c r="M37" s="121">
        <v>3345.8333333333335</v>
      </c>
      <c r="N37" s="122">
        <v>2923</v>
      </c>
      <c r="O37" s="256">
        <f>('Pt 1 Summary of Data'!Q$59+'Pt 1 Summary of Data'!S$59-'Pt 1 Summary of Data'!T$59)/12</f>
        <v>2535</v>
      </c>
      <c r="P37" s="256">
        <f>SUM(M$37:O$37)</f>
        <v>8803.8333333333339</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4366.5659969644739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1.3416970829110177</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 ca="1">IF(OR(F$37&lt;1000,F$37&gt;=75000),0,F$38*F$40)</f>
        <v>0</v>
      </c>
      <c r="G41" s="311"/>
      <c r="H41" s="292"/>
      <c r="I41" s="288"/>
      <c r="J41" s="288"/>
      <c r="K41" s="260">
        <f ca="1">IF(OR(K$37&lt;1000,K$37&gt;=75000),0,K$38*K$40)</f>
        <v>0</v>
      </c>
      <c r="L41" s="311"/>
      <c r="M41" s="292"/>
      <c r="N41" s="288"/>
      <c r="O41" s="288"/>
      <c r="P41" s="260">
        <f ca="1">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0.59116485534211072</v>
      </c>
      <c r="D44" s="260">
        <f>IF(OR(D$37&lt;1000,D$17&lt;=0),"",D$12/D$17)</f>
        <v>0.7384501799820764</v>
      </c>
      <c r="E44" s="260">
        <f>IF(OR(E$37&lt;1000,E$17&lt;=0),"",E$12/E$17)</f>
        <v>0.73994928114644309</v>
      </c>
      <c r="F44" s="260">
        <f>IF(OR(F$37&lt;1000,F$17&lt;=0),"",F$12/F$17)</f>
        <v>0.69146520057402017</v>
      </c>
      <c r="G44" s="311"/>
      <c r="H44" s="262">
        <f>IF(OR(H$37&lt;1000,H$17&lt;=0),"",H$12/H$17)</f>
        <v>0.71373802389739549</v>
      </c>
      <c r="I44" s="260">
        <f>IF(OR(I$37&lt;1000,I$17&lt;=0),"",I$12/I$17)</f>
        <v>0.70268467787016797</v>
      </c>
      <c r="J44" s="260">
        <f>IF(OR(J$37&lt;1000,J$17&lt;=0),"",J$12/J$17)</f>
        <v>0.77428678177854948</v>
      </c>
      <c r="K44" s="260">
        <f>IF(OR(K$37&lt;1000,K$17&lt;=0),"",K$12/K$17)</f>
        <v>0.72775319673382322</v>
      </c>
      <c r="L44" s="311"/>
      <c r="M44" s="262">
        <f>IF(OR(M$37&lt;1000,M$17&lt;=0),"",M$12/M$17)</f>
        <v>0.6995097482610535</v>
      </c>
      <c r="N44" s="260">
        <f>IF(OR(N$37&lt;1000,N$17&lt;=0),"",N$12/N$17)</f>
        <v>0.77007562636129268</v>
      </c>
      <c r="O44" s="260">
        <f>IF(OR(O$37&lt;1000,O$17&lt;=0),"",O$12/O$17)</f>
        <v>0.67031525828759386</v>
      </c>
      <c r="P44" s="260">
        <f>IF(OR(P$37&lt;1000,P$17&lt;=0),"",P$12/P$17)</f>
        <v>0.71432982815396528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 ca="1">IF(F$44="","",F$41)</f>
        <v>0</v>
      </c>
      <c r="G46" s="311"/>
      <c r="H46" s="292"/>
      <c r="I46" s="288"/>
      <c r="J46" s="288"/>
      <c r="K46" s="260">
        <f ca="1">IF(K$44="","",K$41)</f>
        <v>0</v>
      </c>
      <c r="L46" s="311"/>
      <c r="M46" s="292"/>
      <c r="N46" s="288"/>
      <c r="O46" s="288"/>
      <c r="P46" s="260">
        <f ca="1">IF(P$44="","",P$41)</f>
        <v>0</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 ca="1">IF(F$44="","",ROUND(F$44+MAX(0,F$46),3))</f>
        <v>0.69099999999999995</v>
      </c>
      <c r="G47" s="311"/>
      <c r="H47" s="292"/>
      <c r="I47" s="288"/>
      <c r="J47" s="288"/>
      <c r="K47" s="260">
        <f ca="1">IF(K$44="","",ROUND(K$44+MAX(0,K$46),3))</f>
        <v>0.72799999999999998</v>
      </c>
      <c r="L47" s="311"/>
      <c r="M47" s="292"/>
      <c r="N47" s="288"/>
      <c r="O47" s="288"/>
      <c r="P47" s="260">
        <f ca="1">IF(P$44="","",ROUND(P$44+MAX(0,P$46),3))</f>
        <v>0.71399999999999997</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2036</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0.69099999999999995</v>
      </c>
      <c r="G50" s="311"/>
      <c r="H50" s="293"/>
      <c r="I50" s="289"/>
      <c r="J50" s="289"/>
      <c r="K50" s="260">
        <f ca="1">K$47</f>
        <v>0.72799999999999998</v>
      </c>
      <c r="L50" s="311"/>
      <c r="M50" s="293"/>
      <c r="N50" s="289"/>
      <c r="O50" s="289"/>
      <c r="P50" s="260">
        <f ca="1">P$47</f>
        <v>0.71399999999999997</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17772422.154562987</v>
      </c>
      <c r="G51" s="311"/>
      <c r="H51" s="292"/>
      <c r="I51" s="288"/>
      <c r="J51" s="288"/>
      <c r="K51" s="115">
        <f>IF(K$37&lt;1000,"",MAX(0,J$15-J$16))</f>
        <v>24724126.760464095</v>
      </c>
      <c r="L51" s="311"/>
      <c r="M51" s="292"/>
      <c r="N51" s="288"/>
      <c r="O51" s="288"/>
      <c r="P51" s="115">
        <f>IF(P$37&lt;1000,"",MAX(0,O$15-O$16))</f>
        <v>8125984.6078550173</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 ca="1">IF(OR(F$37&lt;1000,F$17&lt;=0),0,MAX(0,F$49-F$50)*F$51)</f>
        <v>1937194.0148473673</v>
      </c>
      <c r="G52" s="311"/>
      <c r="H52" s="292"/>
      <c r="I52" s="288"/>
      <c r="J52" s="288"/>
      <c r="K52" s="115">
        <f ca="1">IF(OR(K$37&lt;1000,K$17&lt;=0),0,MAX(0,K$49-K$50)*K$51)</f>
        <v>1780137.1267534164</v>
      </c>
      <c r="L52" s="311"/>
      <c r="M52" s="292"/>
      <c r="N52" s="288"/>
      <c r="O52" s="288"/>
      <c r="P52" s="115">
        <f ca="1">IF(OR(P$37&lt;1000,P$17&lt;=0),0,MAX(0,P$49-P$50)*P$51)</f>
        <v>1105133.9066682823</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268720.63218024775</v>
      </c>
      <c r="E55" s="288"/>
      <c r="F55" s="288"/>
      <c r="G55" s="311"/>
      <c r="H55" s="292"/>
      <c r="I55" s="110">
        <v>102983.0757359999</v>
      </c>
      <c r="J55" s="288"/>
      <c r="K55" s="288"/>
      <c r="L55" s="311"/>
      <c r="M55" s="292"/>
      <c r="N55" s="110">
        <v>32222.321709999989</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7153.5514931603275</v>
      </c>
      <c r="E56" s="288"/>
      <c r="F56" s="288"/>
      <c r="G56" s="311"/>
      <c r="H56" s="292"/>
      <c r="I56" s="110">
        <v>5848.4005752039602</v>
      </c>
      <c r="J56" s="288"/>
      <c r="K56" s="288"/>
      <c r="L56" s="311"/>
      <c r="M56" s="292"/>
      <c r="N56" s="110">
        <v>1997.4216457822379</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4403</v>
      </c>
      <c r="D4" s="149">
        <f>'Pt 1 Summary of Data'!$K$56+'Pt 1 Summary of Data'!$M$56-'Pt 1 Summary of Data'!$N$56</f>
        <v>3156</v>
      </c>
      <c r="E4" s="149">
        <f>'Pt 1 Summary of Data'!$Q$56+'Pt 1 Summary of Data'!$S$56-'Pt 1 Summary of Data'!$T$56</f>
        <v>1289</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458</v>
      </c>
      <c r="E6" s="123">
        <v>55</v>
      </c>
      <c r="F6" s="363"/>
      <c r="G6" s="123"/>
      <c r="H6" s="123"/>
      <c r="I6" s="363"/>
      <c r="J6" s="363"/>
      <c r="K6" s="372"/>
    </row>
    <row r="7" spans="2:11" x14ac:dyDescent="0.2">
      <c r="B7" s="155" t="s">
        <v>102</v>
      </c>
      <c r="C7" s="124">
        <v>6320</v>
      </c>
      <c r="D7" s="126">
        <v>29</v>
      </c>
      <c r="E7" s="126">
        <v>131</v>
      </c>
      <c r="F7" s="126"/>
      <c r="G7" s="126"/>
      <c r="H7" s="126"/>
      <c r="I7" s="374"/>
      <c r="J7" s="374"/>
      <c r="K7" s="209"/>
    </row>
    <row r="8" spans="2:11" x14ac:dyDescent="0.2">
      <c r="B8" s="155" t="s">
        <v>103</v>
      </c>
      <c r="C8" s="361"/>
      <c r="D8" s="126">
        <v>9</v>
      </c>
      <c r="E8" s="126">
        <v>1</v>
      </c>
      <c r="F8" s="364"/>
      <c r="G8" s="126"/>
      <c r="H8" s="126"/>
      <c r="I8" s="374"/>
      <c r="J8" s="374"/>
      <c r="K8" s="373"/>
    </row>
    <row r="9" spans="2:11" ht="13.15" customHeight="1" x14ac:dyDescent="0.2">
      <c r="B9" s="155" t="s">
        <v>104</v>
      </c>
      <c r="C9" s="124">
        <v>49</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1937194.0148473673</v>
      </c>
      <c r="D11" s="119">
        <f ca="1">'Pt 3 MLR and Rebate Calculation'!$K$52</f>
        <v>1780137.1267534164</v>
      </c>
      <c r="E11" s="119">
        <f ca="1">'Pt 3 MLR and Rebate Calculation'!$P$52</f>
        <v>1105133.9066682823</v>
      </c>
      <c r="F11" s="119">
        <f>'Pt 3 MLR and Rebate Calculation'!$T$52</f>
        <v>0</v>
      </c>
      <c r="G11" s="119">
        <f>'Pt 3 MLR and Rebate Calculation'!$X$52</f>
        <v>0</v>
      </c>
      <c r="H11" s="119">
        <f>'Pt 3 MLR and Rebate Calculation'!$AB$52</f>
        <v>0</v>
      </c>
      <c r="I11" s="312"/>
      <c r="J11" s="312"/>
      <c r="K11" s="365"/>
    </row>
    <row r="12" spans="2:11" x14ac:dyDescent="0.2">
      <c r="B12" s="207" t="s">
        <v>93</v>
      </c>
      <c r="C12" s="109">
        <v>238.01</v>
      </c>
      <c r="D12" s="113">
        <v>-8.15</v>
      </c>
      <c r="E12" s="113">
        <v>-2.16</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1937194.01</v>
      </c>
      <c r="D14" s="113">
        <v>1780137.13</v>
      </c>
      <c r="E14" s="113">
        <v>1105133.9099999999</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1241021.6897812178</v>
      </c>
      <c r="D16" s="119">
        <v>1407981.1817071366</v>
      </c>
      <c r="E16" s="119">
        <v>508510.99210077495</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v>1</v>
      </c>
      <c r="F18" s="139"/>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v>1</v>
      </c>
      <c r="D20" s="139">
        <v>1</v>
      </c>
      <c r="E20" s="139">
        <v>1</v>
      </c>
      <c r="F20" s="139"/>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v>95044.010000000126</v>
      </c>
      <c r="D22" s="212">
        <v>26533.89</v>
      </c>
      <c r="E22" s="212">
        <v>10217.99</v>
      </c>
      <c r="F22" s="212"/>
      <c r="G22" s="212"/>
      <c r="H22" s="212"/>
      <c r="I22" s="359"/>
      <c r="J22" s="359"/>
      <c r="K22" s="368"/>
    </row>
    <row r="23" spans="2:12" s="5" customFormat="1" ht="100.15" customHeight="1" x14ac:dyDescent="0.2">
      <c r="B23" s="102" t="s">
        <v>212</v>
      </c>
      <c r="C23" s="381" t="s">
        <v>506</v>
      </c>
      <c r="D23" s="382"/>
      <c r="E23" s="382"/>
      <c r="F23" s="382"/>
      <c r="G23" s="382"/>
      <c r="H23" s="382"/>
      <c r="I23" s="382"/>
      <c r="J23" s="382"/>
      <c r="K23" s="383"/>
    </row>
    <row r="24" spans="2:12" s="5" customFormat="1" ht="100.15" customHeight="1" x14ac:dyDescent="0.2">
      <c r="B24" s="101" t="s">
        <v>213</v>
      </c>
      <c r="C24" s="384" t="s">
        <v>507</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2015-08-17T14:06:23Z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