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H4" i="16"/>
  <c r="G4" i="16"/>
  <c r="F4" i="16"/>
  <c r="E4" i="16"/>
  <c r="D4" i="16"/>
  <c r="C4" i="16"/>
  <c r="AB52" i="10"/>
  <c r="X52" i="10"/>
  <c r="G11" i="16" s="1"/>
  <c r="T52" i="10"/>
  <c r="F11" i="16" s="1"/>
  <c r="P52" i="10"/>
  <c r="K52" i="10"/>
  <c r="AB51" i="10"/>
  <c r="X51" i="10"/>
  <c r="T51" i="10"/>
  <c r="P51" i="10"/>
  <c r="K51" i="10"/>
  <c r="F51" i="10"/>
  <c r="AB50" i="10"/>
  <c r="P50" i="10"/>
  <c r="K50" i="10"/>
  <c r="AB47" i="10"/>
  <c r="P47" i="10"/>
  <c r="K47" i="10"/>
  <c r="AB46" i="10"/>
  <c r="P46" i="10"/>
  <c r="K46" i="10"/>
  <c r="AB45" i="10"/>
  <c r="AA45" i="10"/>
  <c r="AB38" i="10" s="1"/>
  <c r="Z45" i="10"/>
  <c r="Y45" i="10"/>
  <c r="X45" i="10"/>
  <c r="X47" i="10" s="1"/>
  <c r="X50" i="10" s="1"/>
  <c r="W45" i="10"/>
  <c r="V45" i="10"/>
  <c r="U45" i="10"/>
  <c r="T45" i="10"/>
  <c r="T46" i="10" s="1"/>
  <c r="S45" i="10"/>
  <c r="R45" i="10"/>
  <c r="Q45" i="10"/>
  <c r="P44" i="10"/>
  <c r="O44" i="10"/>
  <c r="N44" i="10"/>
  <c r="M44" i="10"/>
  <c r="K44" i="10"/>
  <c r="J44" i="10"/>
  <c r="I44" i="10"/>
  <c r="H44" i="10"/>
  <c r="F44" i="10"/>
  <c r="E44" i="10"/>
  <c r="D44" i="10"/>
  <c r="C44" i="10"/>
  <c r="AB41" i="10"/>
  <c r="X41" i="10"/>
  <c r="T41" i="10"/>
  <c r="P41" i="10"/>
  <c r="K41" i="10"/>
  <c r="AB40" i="10"/>
  <c r="X40" i="10"/>
  <c r="T40" i="10"/>
  <c r="P40" i="10"/>
  <c r="K40" i="10"/>
  <c r="F40" i="10"/>
  <c r="P38" i="10"/>
  <c r="K38" i="10"/>
  <c r="F38" i="10"/>
  <c r="AB37" i="10"/>
  <c r="AA37" i="10"/>
  <c r="X37" i="10"/>
  <c r="W37" i="10"/>
  <c r="T37" i="10"/>
  <c r="S37" i="10"/>
  <c r="P37" i="10"/>
  <c r="O37" i="10"/>
  <c r="K37" i="10"/>
  <c r="J37" i="10"/>
  <c r="F37" i="10"/>
  <c r="E37" i="10"/>
  <c r="L29" i="10"/>
  <c r="L28" i="10"/>
  <c r="L25" i="10"/>
  <c r="L24" i="10"/>
  <c r="L21" i="10"/>
  <c r="L20" i="10"/>
  <c r="L19" i="10"/>
  <c r="AB17" i="10"/>
  <c r="AA17" i="10"/>
  <c r="Z17" i="10"/>
  <c r="Y17" i="10"/>
  <c r="X17" i="10"/>
  <c r="W17" i="10"/>
  <c r="V17" i="10"/>
  <c r="U17" i="10"/>
  <c r="T17" i="10"/>
  <c r="S17" i="10"/>
  <c r="R17" i="10"/>
  <c r="Q17" i="10"/>
  <c r="P17" i="10"/>
  <c r="O17" i="10"/>
  <c r="N17" i="10"/>
  <c r="P12" i="10" s="1"/>
  <c r="M17" i="10"/>
  <c r="K17" i="10"/>
  <c r="J17" i="10"/>
  <c r="I17" i="10"/>
  <c r="H17" i="10"/>
  <c r="F17" i="10"/>
  <c r="E17" i="10"/>
  <c r="D17" i="10"/>
  <c r="C17" i="10"/>
  <c r="AB16" i="10"/>
  <c r="AA16" i="10"/>
  <c r="X16" i="10"/>
  <c r="U13" i="10" s="1"/>
  <c r="W16" i="10"/>
  <c r="T16" i="10"/>
  <c r="S16" i="10"/>
  <c r="Q13" i="10" s="1"/>
  <c r="P16" i="10"/>
  <c r="O16" i="10"/>
  <c r="L16" i="10"/>
  <c r="K16" i="10"/>
  <c r="J16" i="10"/>
  <c r="G16" i="10"/>
  <c r="F16" i="10"/>
  <c r="E16" i="10"/>
  <c r="AB15" i="10"/>
  <c r="AA15" i="10"/>
  <c r="X15" i="10"/>
  <c r="V13" i="10" s="1"/>
  <c r="W15" i="10"/>
  <c r="T15" i="10"/>
  <c r="S15" i="10"/>
  <c r="P15" i="10"/>
  <c r="O15" i="10"/>
  <c r="L15" i="10"/>
  <c r="K15" i="10"/>
  <c r="J15" i="10"/>
  <c r="G15" i="10"/>
  <c r="F15" i="10"/>
  <c r="D12" i="10" s="1"/>
  <c r="E15" i="10"/>
  <c r="AB13" i="10"/>
  <c r="AA13" i="10"/>
  <c r="Z13" i="10"/>
  <c r="Y13" i="10"/>
  <c r="W13" i="10"/>
  <c r="R13" i="10"/>
  <c r="O12" i="10"/>
  <c r="N12" i="10"/>
  <c r="M12" i="10"/>
  <c r="C12" i="10"/>
  <c r="K11" i="10"/>
  <c r="J11" i="10"/>
  <c r="F11" i="10"/>
  <c r="E11" i="10"/>
  <c r="L10" i="10"/>
  <c r="K10" i="10"/>
  <c r="J10" i="10"/>
  <c r="G10" i="10"/>
  <c r="F10" i="10"/>
  <c r="E10" i="10"/>
  <c r="G9" i="10"/>
  <c r="G7" i="10" s="1"/>
  <c r="G29" i="10" s="1"/>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T55" i="18"/>
  <c r="AS55" i="18"/>
  <c r="AC55" i="18"/>
  <c r="AB55" i="18"/>
  <c r="AA55" i="18"/>
  <c r="Z55" i="18"/>
  <c r="Y55" i="18"/>
  <c r="X55" i="18"/>
  <c r="X22" i="4" s="1"/>
  <c r="W55" i="18"/>
  <c r="W22" i="4" s="1"/>
  <c r="V55" i="18"/>
  <c r="U55" i="18"/>
  <c r="T55" i="18"/>
  <c r="S55" i="18"/>
  <c r="R55" i="18"/>
  <c r="R22" i="4" s="1"/>
  <c r="Q55" i="18"/>
  <c r="P55" i="18"/>
  <c r="O55" i="18"/>
  <c r="N55" i="18"/>
  <c r="N22" i="4" s="1"/>
  <c r="M55" i="18"/>
  <c r="L55" i="18"/>
  <c r="K55" i="18"/>
  <c r="J55" i="18"/>
  <c r="I55" i="18"/>
  <c r="H55" i="18"/>
  <c r="G55" i="18"/>
  <c r="F55" i="18"/>
  <c r="E55" i="18"/>
  <c r="D55" i="18"/>
  <c r="AU54" i="18"/>
  <c r="AU12" i="4" s="1"/>
  <c r="AT54" i="18"/>
  <c r="AS54" i="18"/>
  <c r="AC54" i="18"/>
  <c r="AB54" i="18"/>
  <c r="AA54" i="18"/>
  <c r="Z54" i="18"/>
  <c r="Y54" i="18"/>
  <c r="Y12" i="4" s="1"/>
  <c r="X54" i="18"/>
  <c r="W54" i="18"/>
  <c r="V54" i="18"/>
  <c r="U54" i="18"/>
  <c r="T54" i="18"/>
  <c r="S54" i="18"/>
  <c r="S12" i="4" s="1"/>
  <c r="R54" i="18"/>
  <c r="R12" i="4" s="1"/>
  <c r="Q54" i="18"/>
  <c r="P54" i="18"/>
  <c r="O54" i="18"/>
  <c r="N54" i="18"/>
  <c r="M54" i="18"/>
  <c r="L54" i="18"/>
  <c r="K54" i="18"/>
  <c r="J54" i="18"/>
  <c r="I54" i="18"/>
  <c r="I12" i="4" s="1"/>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V22" i="4"/>
  <c r="U22" i="4"/>
  <c r="T22" i="4"/>
  <c r="S22" i="4"/>
  <c r="Q22" i="4"/>
  <c r="P22" i="4"/>
  <c r="O22" i="4"/>
  <c r="M22" i="4"/>
  <c r="L22" i="4"/>
  <c r="K22" i="4"/>
  <c r="J22" i="4"/>
  <c r="I22" i="4"/>
  <c r="H22" i="4"/>
  <c r="G22" i="4"/>
  <c r="F22" i="4"/>
  <c r="E22" i="4"/>
  <c r="D22" i="4"/>
  <c r="AT12" i="4"/>
  <c r="AS12" i="4"/>
  <c r="AC12" i="4"/>
  <c r="AB12" i="4"/>
  <c r="AA12" i="4"/>
  <c r="Z12" i="4"/>
  <c r="X12" i="4"/>
  <c r="W12" i="4"/>
  <c r="V12" i="4"/>
  <c r="U12" i="4"/>
  <c r="T12" i="4"/>
  <c r="Q12" i="4"/>
  <c r="P12" i="4"/>
  <c r="O12" i="4"/>
  <c r="N12" i="4"/>
  <c r="M12" i="4"/>
  <c r="L12" i="4"/>
  <c r="K12" i="4"/>
  <c r="J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1" i="10"/>
  <c r="G25" i="10"/>
  <c r="G28" i="10"/>
  <c r="G20" i="10"/>
  <c r="X38" i="10"/>
  <c r="X46" i="10"/>
  <c r="T38" i="10"/>
  <c r="T47" i="10"/>
  <c r="T50" i="10" s="1"/>
  <c r="F41" i="10"/>
  <c r="F46" i="10" s="1"/>
  <c r="F47" i="10" s="1"/>
  <c r="F50" i="10" s="1"/>
  <c r="F52" i="10" s="1"/>
  <c r="C11" i="16" s="1"/>
  <c r="L23" i="10"/>
  <c r="L27" i="10" s="1"/>
  <c r="X13" i="10"/>
  <c r="T13" i="10"/>
  <c r="I12" i="10"/>
  <c r="J12" i="10"/>
  <c r="S13" i="10"/>
  <c r="H12" i="10"/>
  <c r="E12" i="10"/>
  <c r="F12" i="10" s="1"/>
  <c r="E7" i="10"/>
  <c r="F7" i="10" s="1"/>
  <c r="L26" i="10" l="1"/>
  <c r="L30" i="10" s="1"/>
  <c r="L31" i="10"/>
  <c r="L32" i="10" s="1"/>
  <c r="L33" i="10" s="1"/>
  <c r="G24" i="10"/>
  <c r="G23" i="10" s="1"/>
  <c r="G27" i="10" s="1"/>
  <c r="K12" i="10"/>
  <c r="G31" i="10" l="1"/>
  <c r="G32" i="10" s="1"/>
  <c r="G33" i="10" s="1"/>
  <c r="G26" i="10"/>
  <c r="G30"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<sst xmlns="http://schemas.openxmlformats.org/spreadsheetml/2006/main" count="568" uniqueCount="507">
  <si>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</si>
  <si>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</si>
  <si>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</si>
  <si>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</si>
  <si>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</si>
  <si>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</si>
  <si>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</si>
  <si>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</si>
  <si>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</si>
  <si>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</si>
  <si>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</si>
  <si>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</si>
  <si>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</si>
  <si>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</si>
  <si>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</si>
  <si>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</si>
  <si>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</si>
  <si>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</si>
  <si>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</si>
  <si>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</si>
  <si>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</si>
  <si>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</si>
  <si>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</si>
  <si>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</si>
  <si>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</si>
  <si>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</si>
  <si>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</si>
  <si>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</si>
  <si>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</si>
  <si>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</si>
  <si>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</si>
  <si>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</si>
  <si>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</si>
  <si>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</si>
  <si>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</si>
  <si>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</si>
  <si>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</si>
  <si>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</si>
  <si>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</si>
  <si>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</si>
  <si>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</si>
  <si>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</si>
  <si>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</si>
  <si>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</si>
  <si>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</si>
  <si>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</si>
  <si>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</si>
  <si>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</si>
  <si>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</si>
  <si>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</si>
  <si>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</si>
  <si>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</si>
  <si>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</si>
  <si>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</si>
  <si>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</si>
  <si>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</si>
  <si>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</si>
  <si>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</si>
  <si>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</si>
  <si>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</si>
  <si>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</si>
  <si>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</si>
  <si>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</si>
  <si>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</si>
  <si>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</si>
  <si>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</si>
  <si>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</si>
  <si>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</si>
  <si>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</si>
  <si>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</si>
  <si>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</si>
  <si>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</si>
  <si>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</si>
  <si>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</si>
  <si>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</si>
  <si>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</si>
  <si>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</si>
  <si>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</si>
  <si>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</si>
  <si>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</si>
  <si>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</si>
  <si>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</si>
  <si>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</si>
  <si>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</si>
  <si>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</si>
  <si>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</si>
  <si>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</si>
  <si>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</si>
  <si>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</si>
  <si>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</si>
  <si>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</si>
  <si>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</si>
  <si>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</si>
  <si>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</si>
  <si>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</si>
  <si>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</si>
  <si>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</si>
  <si>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</si>
  <si>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</si>
  <si>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</si>
  <si>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</si>
  <si>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</si>
  <si>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</si>
  <si>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</si>
  <si>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</si>
  <si>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</si>
  <si>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</si>
  <si>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</si>
  <si>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</si>
  <si>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</si>
  <si>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</si>
  <si>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</si>
  <si>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</si>
  <si>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</si>
  <si>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</si>
  <si>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</si>
  <si>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</si>
  <si>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</si>
  <si>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</si>
  <si>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</si>
  <si>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</si>
  <si>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</si>
  <si>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</si>
  <si>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</si>
  <si>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</si>
  <si>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</si>
  <si>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</si>
  <si>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</si>
  <si>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</si>
  <si>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</si>
  <si>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</si>
  <si>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</si>
  <si>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</si>
  <si>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</si>
  <si>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</si>
  <si>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</si>
  <si>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</si>
  <si>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</si>
  <si>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</si>
  <si>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</si>
  <si>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</si>
  <si>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</si>
  <si>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</si>
  <si>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</si>
  <si>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</si>
  <si>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</si>
  <si>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</si>
  <si>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</si>
  <si>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</si>
  <si>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</si>
  <si>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</si>
  <si>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</si>
  <si>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</si>
  <si>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</si>
  <si>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</si>
  <si>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</si>
  <si>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</si>
  <si>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</si>
  <si>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</si>
  <si>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</si>
  <si>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</si>
  <si>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</si>
  <si>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</si>
  <si>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</si>
  <si>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</si>
  <si>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</si>
  <si>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</si>
  <si>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</si>
  <si>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</si>
  <si>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</si>
  <si>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</si>
  <si>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</si>
  <si>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</si>
  <si>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</si>
  <si>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</si>
  <si>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</si>
  <si>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</si>
  <si>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</si>
  <si>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</si>
  <si>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</si>
  <si>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</si>
  <si>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</si>
  <si>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</si>
  <si>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</si>
  <si>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</si>
  <si>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</si>
  <si>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</si>
  <si>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</si>
  <si>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</si>
  <si>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</si>
  <si>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</si>
  <si>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</si>
  <si>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</si>
  <si>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</si>
  <si>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</si>
  <si>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</si>
  <si>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</si>
  <si>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</si>
  <si>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</si>
  <si>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</si>
  <si>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</si>
  <si>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</si>
  <si>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</si>
  <si>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</si>
  <si>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</si>
  <si>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</si>
  <si>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</si>
  <si>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</si>
  <si>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</si>
  <si>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</si>
  <si>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</si>
  <si>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</si>
  <si>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</si>
  <si>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</si>
  <si>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</si>
  <si>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</si>
  <si>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</si>
  <si>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</si>
  <si>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</si>
  <si>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</si>
  <si>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</si>
  <si>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</si>
  <si>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</si>
  <si>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</si>
  <si>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</si>
  <si>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</si>
  <si>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</si>
  <si>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</si>
  <si>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</si>
  <si>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</si>
  <si>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</si>
  <si>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</si>
  <si>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</si>
  <si>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</si>
  <si>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</si>
  <si>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</si>
  <si>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</si>
  <si>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</si>
  <si>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</si>
  <si>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</si>
  <si>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</si>
  <si>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</si>
  <si>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</si>
  <si>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</si>
  <si>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</si>
  <si>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</si>
  <si>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</si>
  <si>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</si>
  <si>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</si>
  <si>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</si>
  <si>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</si>
  <si>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</si>
  <si>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</si>
  <si>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</si>
  <si>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</si>
  <si>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</si>
  <si>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</si>
  <si>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</si>
  <si>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</si>
  <si>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</si>
  <si>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</si>
  <si>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</si>
  <si>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</si>
  <si>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</si>
  <si>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</si>
  <si>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</si>
  <si>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</si>
  <si>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</si>
  <si>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</si>
  <si>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</si>
  <si>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</si>
  <si>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</si>
  <si>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</si>
  <si>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</si>
  <si>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</si>
  <si>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</si>
  <si>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</si>
  <si>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</si>
  <si>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</si>
  <si>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</si>
  <si>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</si>
  <si>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</si>
  <si>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</si>
  <si>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</si>
  <si>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</si>
  <si>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</si>
  <si>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</si>
  <si>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</si>
  <si>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</si>
  <si>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</si>
  <si>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</si>
  <si>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</si>
  <si>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</si>
  <si>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</si>
  <si>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</si>
  <si>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</si>
  <si>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</si>
  <si>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</si>
  <si>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</si>
  <si>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</si>
  <si>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</si>
  <si>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</si>
  <si>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</si>
  <si>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</si>
  <si>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</si>
  <si>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</si>
  <si>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</si>
  <si>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</si>
  <si>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</si>
  <si>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</si>
  <si>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</si>
  <si>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</si>
  <si>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</si>
  <si>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</si>
  <si>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</si>
  <si>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</si>
  <si>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</si>
  <si>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</si>
  <si>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</si>
  <si>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</si>
  <si>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</si>
  <si>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</si>
  <si>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</si>
  <si>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</si>
  <si>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</si>
  <si>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</si>
  <si>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</si>
  <si>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</si>
  <si>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</si>
  <si>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</si>
  <si>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</si>
  <si>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</si>
  <si>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</si>
  <si>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</si>
  <si>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</si>
  <si>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</si>
  <si>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</si>
  <si>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</si>
  <si>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</si>
  <si>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</si>
  <si>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</si>
  <si>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</si>
  <si>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</si>
  <si>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</si>
  <si>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</si>
  <si>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</si>
  <si>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</si>
  <si>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</si>
  <si>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</si>
  <si>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</si>
  <si>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</si>
  <si>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</si>
  <si>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</si>
  <si>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</si>
  <si>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</si>
  <si>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</si>
  <si>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</si>
  <si>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</si>
  <si>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</si>
  <si>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</si>
  <si>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</si>
  <si>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</si>
  <si>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</si>
  <si>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</si>
  <si>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</si>
  <si>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</si>
  <si>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</si>
  <si>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</si>
  <si>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</si>
  <si>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</si>
  <si>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</si>
  <si>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</si>
  <si>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</si>
  <si>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</si>
  <si>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</si>
  <si>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</si>
  <si>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</si>
  <si>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</si>
  <si>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</si>
  <si>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</si>
  <si>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</si>
  <si>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</si>
  <si>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</si>
  <si>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</si>
  <si>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</si>
  <si>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</si>
  <si>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</si>
  <si>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</si>
  <si>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</si>
  <si>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</si>
  <si>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</si>
  <si>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</si>
  <si>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</si>
  <si>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</si>
  <si>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</si>
  <si>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</si>
  <si>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</si>
  <si>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</si>
  <si>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</si>
  <si>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</si>
  <si>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</si>
  <si>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</si>
  <si>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</si>
  <si>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</si>
  <si>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</si>
  <si>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</si>
  <si>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</si>
  <si>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</si>
  <si>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</si>
  <si>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</si>
  <si>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</si>
  <si>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</si>
  <si>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</si>
  <si>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</si>
  <si>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</si>
  <si>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</si>
  <si>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</si>
  <si>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</si>
  <si>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</si>
  <si>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</si>
  <si>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</si>
  <si>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</si>
  <si>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</si>
  <si>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</si>
  <si>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</si>
  <si>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</si>
  <si>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</si>
  <si>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</si>
  <si>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</si>
  <si>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</si>
  <si>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</si>
  <si>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</si>
  <si>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</si>
  <si>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</si>
  <si>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</si>
  <si>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</si>
  <si>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</si>
  <si>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</si>
  <si>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</si>
  <si>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</si>
  <si>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</si>
  <si>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</si>
  <si>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</si>
  <si>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</si>
  <si>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</si>
  <si>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</si>
  <si>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</si>
  <si>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</si>
  <si>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</si>
  <si>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</si>
  <si>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</si>
  <si>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</si>
  <si>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</si>
  <si>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</si>
  <si>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</si>
  <si>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</si>
  <si>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</si>
  <si>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</si>
  <si>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</si>
  <si>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</si>
  <si>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</si>
  <si>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</si>
  <si>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</si>
  <si>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</si>
  <si>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</si>
  <si>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</si>
  <si>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</si>
  <si>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</si>
  <si>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</si>
  <si>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</si>
  <si>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</si>
  <si>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</si>
  <si>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</si>
  <si>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</si>
  <si>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</si>
  <si>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</si>
  <si>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</si>
  <si>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</si>
  <si>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</si>
  <si>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</si>
  <si>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</si>
  <si>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</si>
  <si>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</si>
  <si>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</si>
  <si>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</si>
  <si>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</si>
  <si>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</si>
  <si>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</si>
  <si>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</si>
  <si>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</si>
  <si>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</si>
  <si>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</si>
  <si>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</si>
  <si>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</si>
  <si>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</si>
  <si>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</si>
  <si>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</si>
  <si>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</si>
  <si>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</si>
  <si>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</si>
  <si>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</si>
  <si>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</si>
  <si>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</si>
  <si>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81966</t>
  </si>
  <si>
    <t>219</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</si>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</sst>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170</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-1890</v>
      </c>
      <c r="E5" s="112">
        <f>SUM('Pt 2 Premium and Claims'!E$5,'Pt 2 Premium and Claims'!E$6,-'Pt 2 Premium and Claims'!E$7,-'Pt 2 Premium and Claims'!E$13,'Pt 2 Premium and Claims'!E$14:'Pt 2 Premium and Claims'!E$17)</f>
        <v>1287.24</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17693.5</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130236858</v>
      </c>
      <c r="AT5" s="113">
        <f>SUM('Pt 2 Premium and Claims'!AT$5,'Pt 2 Premium and Claims'!AT$6,-'Pt 2 Premium and Claims'!AT$7,-'Pt 2 Premium and Claims'!AT$13,'Pt 2 Premium and Claims'!AT$14)</f>
        <v>2561136</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30465</v>
      </c>
      <c r="AT8" s="119">
        <v>-49046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-130084</v>
      </c>
      <c r="E12" s="112">
        <f>'Pt 2 Premium and Claims'!E$54</f>
        <v>-117952.07</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58687.6901</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109119025</v>
      </c>
      <c r="AT12" s="113">
        <f>'Pt 2 Premium and Claims'!AT$54</f>
        <v>1554769</v>
      </c>
      <c r="AU12" s="113">
        <f>'Pt 2 Premium and Claims'!AU$54</f>
        <v>0</v>
      </c>
      <c r="AV12" s="318"/>
      <c r="AW12" s="323"/>
    </row>
    <row r="13" spans="1:49" ht="25.5" x14ac:dyDescent="0.2">
      <c r="B13" s="161" t="s">
        <v>230</v>
      </c>
      <c r="C13" s="68" t="s">
        <v>37</v>
      </c>
      <c r="D13" s="115">
        <v>-64953</v>
      </c>
      <c r="E13" s="116">
        <v>-0.25</v>
      </c>
      <c r="F13" s="116"/>
      <c r="G13" s="295"/>
      <c r="H13" s="296"/>
      <c r="I13" s="115"/>
      <c r="J13" s="115"/>
      <c r="K13" s="116">
        <v>329.76</v>
      </c>
      <c r="L13" s="116"/>
      <c r="M13" s="295"/>
      <c r="N13" s="296"/>
      <c r="O13" s="115"/>
      <c r="P13" s="115"/>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46929072</v>
      </c>
      <c r="AT13" s="119">
        <v>-680</v>
      </c>
      <c r="AU13" s="119"/>
      <c r="AV13" s="317"/>
      <c r="AW13" s="324"/>
    </row>
    <row r="14" spans="1:49" ht="25.5" x14ac:dyDescent="0.2">
      <c r="B14" s="161" t="s">
        <v>231</v>
      </c>
      <c r="C14" s="68" t="s">
        <v>6</v>
      </c>
      <c r="D14" s="115">
        <v>8</v>
      </c>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13076340</v>
      </c>
      <c r="AT14" s="119">
        <v>39</v>
      </c>
      <c r="AU14" s="119"/>
      <c r="AV14" s="317"/>
      <c r="AW14" s="324"/>
    </row>
    <row r="15" spans="1:49" ht="38.25" x14ac:dyDescent="0.2">
      <c r="B15" s="161" t="s">
        <v>232</v>
      </c>
      <c r="C15" s="68" t="s">
        <v>7</v>
      </c>
      <c r="D15" s="115">
        <v>7</v>
      </c>
      <c r="E15" s="116">
        <v>7</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4059</v>
      </c>
      <c r="AT15" s="119">
        <v>88</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8166</v>
      </c>
      <c r="AT16" s="119">
        <v>15277</v>
      </c>
      <c r="AU16" s="119"/>
      <c r="AV16" s="317"/>
      <c r="AW16" s="324"/>
    </row>
    <row r="17" spans="1:49" x14ac:dyDescent="0.2">
      <c r="B17" s="161" t="s">
        <v>234</v>
      </c>
      <c r="C17" s="68" t="s">
        <v>62</v>
      </c>
      <c r="D17" s="115">
        <v>-53313</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-52212</v>
      </c>
      <c r="AU17" s="119"/>
      <c r="AV17" s="317"/>
      <c r="AW17" s="324"/>
    </row>
    <row r="18" spans="1:49" x14ac:dyDescent="0.2">
      <c r="B18" s="161" t="s">
        <v>235</v>
      </c>
      <c r="C18" s="68" t="s">
        <v>63</v>
      </c>
      <c r="D18" s="115">
        <v>78382</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25069</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11758.286609999999</v>
      </c>
      <c r="E25" s="116">
        <v>11758.286609999999</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1577578.9809999999</v>
      </c>
      <c r="AT25" s="119">
        <v>105599.4958</v>
      </c>
      <c r="AU25" s="119"/>
      <c r="AV25" s="119"/>
      <c r="AW25" s="324"/>
    </row>
    <row r="26" spans="1:49" s="11" customFormat="1" x14ac:dyDescent="0.2">
      <c r="A26" s="41"/>
      <c r="B26" s="164" t="s">
        <v>243</v>
      </c>
      <c r="C26" s="68"/>
      <c r="D26" s="115"/>
      <c r="E26" s="116"/>
      <c r="F26" s="116"/>
      <c r="G26" s="116"/>
      <c r="H26" s="116"/>
      <c r="I26" s="115"/>
      <c r="J26" s="115"/>
      <c r="K26" s="116">
        <v>2.04</v>
      </c>
      <c r="L26" s="116"/>
      <c r="M26" s="116"/>
      <c r="N26" s="116"/>
      <c r="O26" s="115"/>
      <c r="P26" s="115"/>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-320.47000000000003</v>
      </c>
      <c r="E27" s="116">
        <v>-320.47000000000003</v>
      </c>
      <c r="F27" s="116"/>
      <c r="G27" s="116"/>
      <c r="H27" s="116"/>
      <c r="I27" s="115"/>
      <c r="J27" s="115">
        <v>-44.800000000000011</v>
      </c>
      <c r="K27" s="116">
        <v>-44.800000000000011</v>
      </c>
      <c r="L27" s="116"/>
      <c r="M27" s="116"/>
      <c r="N27" s="116"/>
      <c r="O27" s="115"/>
      <c r="P27" s="115">
        <v>0</v>
      </c>
      <c r="Q27" s="116">
        <v>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1635835.8399999999</v>
      </c>
      <c r="AT27" s="119">
        <v>2509.4799999999996</v>
      </c>
      <c r="AU27" s="119"/>
      <c r="AV27" s="320"/>
      <c r="AW27" s="324"/>
    </row>
    <row r="28" spans="1:49" s="11" customFormat="1" x14ac:dyDescent="0.2">
      <c r="A28" s="41"/>
      <c r="B28" s="164" t="s">
        <v>245</v>
      </c>
      <c r="C28" s="68"/>
      <c r="D28" s="115"/>
      <c r="E28" s="116"/>
      <c r="F28" s="116"/>
      <c r="G28" s="116"/>
      <c r="H28" s="116"/>
      <c r="I28" s="115"/>
      <c r="J28" s="115">
        <v>44.8</v>
      </c>
      <c r="K28" s="116">
        <v>7.06</v>
      </c>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8779.5999999999985</v>
      </c>
      <c r="AT28" s="119">
        <v>382.58000000000004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874.43419659999995</v>
      </c>
      <c r="E30" s="116">
        <v>-693.20280339999999</v>
      </c>
      <c r="F30" s="116"/>
      <c r="G30" s="116"/>
      <c r="H30" s="116"/>
      <c r="I30" s="115"/>
      <c r="J30" s="115">
        <v>-78.100000000000009</v>
      </c>
      <c r="K30" s="116">
        <v>-77.390000000000015</v>
      </c>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132100.34349999999</v>
      </c>
      <c r="AT30" s="119">
        <v>7866.7899160000024</v>
      </c>
      <c r="AU30" s="119"/>
      <c r="AV30" s="119"/>
      <c r="AW30" s="324"/>
    </row>
    <row r="31" spans="1:49" x14ac:dyDescent="0.2">
      <c r="B31" s="164" t="s">
        <v>248</v>
      </c>
      <c r="C31" s="68"/>
      <c r="D31" s="115">
        <v>1567.6369999999999</v>
      </c>
      <c r="E31" s="116">
        <v>1567.6369999999999</v>
      </c>
      <c r="F31" s="116"/>
      <c r="G31" s="116"/>
      <c r="H31" s="116"/>
      <c r="I31" s="115"/>
      <c r="J31" s="115">
        <v>78.099999999999994</v>
      </c>
      <c r="K31" s="116">
        <v>78.099999999999994</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24646.05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v>41.58</v>
      </c>
      <c r="L34" s="116"/>
      <c r="M34" s="116"/>
      <c r="N34" s="116"/>
      <c r="O34" s="115"/>
      <c r="P34" s="115"/>
      <c r="Q34" s="116">
        <v>0</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7.06</v>
      </c>
      <c r="E35" s="116">
        <v>7.06</v>
      </c>
      <c r="F35" s="116"/>
      <c r="G35" s="116"/>
      <c r="H35" s="116"/>
      <c r="I35" s="115"/>
      <c r="J35" s="115"/>
      <c r="K35" s="116">
        <v>0.95999999999999952</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81437.97</v>
      </c>
      <c r="AT35" s="119">
        <v>1968.98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87</v>
      </c>
      <c r="E37" s="124">
        <v>-2082.09</v>
      </c>
      <c r="F37" s="124"/>
      <c r="G37" s="124"/>
      <c r="H37" s="124"/>
      <c r="I37" s="123"/>
      <c r="J37" s="123"/>
      <c r="K37" s="124">
        <v>0.71000000000000085</v>
      </c>
      <c r="L37" s="124"/>
      <c r="M37" s="124"/>
      <c r="N37" s="124"/>
      <c r="O37" s="123"/>
      <c r="P37" s="123"/>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538689</v>
      </c>
      <c r="AT37" s="125"/>
      <c r="AU37" s="125"/>
      <c r="AV37" s="125"/>
      <c r="AW37" s="323"/>
    </row>
    <row r="38" spans="1:49" x14ac:dyDescent="0.2">
      <c r="B38" s="161" t="s">
        <v>255</v>
      </c>
      <c r="C38" s="68" t="s">
        <v>16</v>
      </c>
      <c r="D38" s="115">
        <v>12</v>
      </c>
      <c r="E38" s="116">
        <v>24.62</v>
      </c>
      <c r="F38" s="116"/>
      <c r="G38" s="116"/>
      <c r="H38" s="116"/>
      <c r="I38" s="115"/>
      <c r="J38" s="115"/>
      <c r="K38" s="116">
        <v>-5.94</v>
      </c>
      <c r="L38" s="116"/>
      <c r="M38" s="116"/>
      <c r="N38" s="116"/>
      <c r="O38" s="115"/>
      <c r="P38" s="115"/>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197666</v>
      </c>
      <c r="AT38" s="119"/>
      <c r="AU38" s="119"/>
      <c r="AV38" s="119"/>
      <c r="AW38" s="324"/>
    </row>
    <row r="39" spans="1:49" x14ac:dyDescent="0.2">
      <c r="B39" s="164" t="s">
        <v>256</v>
      </c>
      <c r="C39" s="68" t="s">
        <v>17</v>
      </c>
      <c r="D39" s="115">
        <v>2170</v>
      </c>
      <c r="E39" s="116">
        <v>4327.09</v>
      </c>
      <c r="F39" s="116"/>
      <c r="G39" s="116"/>
      <c r="H39" s="116"/>
      <c r="I39" s="115"/>
      <c r="J39" s="115"/>
      <c r="K39" s="116">
        <v>5.2299999999999995</v>
      </c>
      <c r="L39" s="116"/>
      <c r="M39" s="116"/>
      <c r="N39" s="116"/>
      <c r="O39" s="115"/>
      <c r="P39" s="115"/>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268089</v>
      </c>
      <c r="AT39" s="119">
        <v>2639</v>
      </c>
      <c r="AU39" s="119"/>
      <c r="AV39" s="119"/>
      <c r="AW39" s="324"/>
    </row>
    <row r="40" spans="1:49" x14ac:dyDescent="0.2">
      <c r="B40" s="164" t="s">
        <v>257</v>
      </c>
      <c r="C40" s="68" t="s">
        <v>38</v>
      </c>
      <c r="D40" s="115">
        <v>26</v>
      </c>
      <c r="E40" s="116">
        <v>26.059999999999995</v>
      </c>
      <c r="F40" s="116"/>
      <c r="G40" s="116"/>
      <c r="H40" s="116"/>
      <c r="I40" s="115"/>
      <c r="J40" s="115"/>
      <c r="K40" s="116">
        <v>0</v>
      </c>
      <c r="L40" s="116"/>
      <c r="M40" s="116"/>
      <c r="N40" s="116"/>
      <c r="O40" s="115"/>
      <c r="P40" s="115"/>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517715.00000000006</v>
      </c>
      <c r="AT40" s="119">
        <v>4116</v>
      </c>
      <c r="AU40" s="119"/>
      <c r="AV40" s="119"/>
      <c r="AW40" s="324"/>
    </row>
    <row r="41" spans="1:49" s="11" customFormat="1" ht="25.5" x14ac:dyDescent="0.2">
      <c r="A41" s="41"/>
      <c r="B41" s="164" t="s">
        <v>258</v>
      </c>
      <c r="C41" s="68" t="s">
        <v>129</v>
      </c>
      <c r="D41" s="115">
        <v>5</v>
      </c>
      <c r="E41" s="116">
        <v>5.39</v>
      </c>
      <c r="F41" s="116"/>
      <c r="G41" s="116"/>
      <c r="H41" s="116"/>
      <c r="I41" s="115"/>
      <c r="J41" s="115"/>
      <c r="K41" s="116">
        <v>0</v>
      </c>
      <c r="L41" s="116"/>
      <c r="M41" s="116"/>
      <c r="N41" s="116"/>
      <c r="O41" s="115"/>
      <c r="P41" s="115"/>
      <c r="Q41" s="116">
        <v>8.8817841970012523E-16</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520414</v>
      </c>
      <c r="AT41" s="119">
        <v>3748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v>
      </c>
      <c r="E44" s="124">
        <v>-22</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1423582</v>
      </c>
      <c r="AT44" s="125">
        <v>4247</v>
      </c>
      <c r="AU44" s="125"/>
      <c r="AV44" s="125"/>
      <c r="AW44" s="323"/>
    </row>
    <row r="45" spans="1:49" x14ac:dyDescent="0.2">
      <c r="B45" s="167" t="s">
        <v>262</v>
      </c>
      <c r="C45" s="68" t="s">
        <v>19</v>
      </c>
      <c r="D45" s="115">
        <v>31</v>
      </c>
      <c r="E45" s="116">
        <v>31</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1529565</v>
      </c>
      <c r="AT45" s="119">
        <v>34707</v>
      </c>
      <c r="AU45" s="119"/>
      <c r="AV45" s="119"/>
      <c r="AW45" s="324"/>
    </row>
    <row r="46" spans="1:49" x14ac:dyDescent="0.2">
      <c r="B46" s="167" t="s">
        <v>263</v>
      </c>
      <c r="C46" s="68" t="s">
        <v>20</v>
      </c>
      <c r="D46" s="115">
        <v>122</v>
      </c>
      <c r="E46" s="116">
        <v>122</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1757989</v>
      </c>
      <c r="AT46" s="119">
        <v>12589</v>
      </c>
      <c r="AU46" s="119"/>
      <c r="AV46" s="119"/>
      <c r="AW46" s="324"/>
    </row>
    <row r="47" spans="1:49" x14ac:dyDescent="0.2">
      <c r="B47" s="167" t="s">
        <v>264</v>
      </c>
      <c r="C47" s="68" t="s">
        <v>21</v>
      </c>
      <c r="D47" s="115">
        <v>418</v>
      </c>
      <c r="E47" s="116">
        <v>418</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735914</v>
      </c>
      <c r="AT47" s="119">
        <v>294191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-2350.9911966</v>
      </c>
      <c r="E49" s="116">
        <v>-783.35419660000002</v>
      </c>
      <c r="F49" s="116"/>
      <c r="G49" s="116"/>
      <c r="H49" s="116"/>
      <c r="I49" s="115"/>
      <c r="J49" s="115">
        <v>0.57000000000000028</v>
      </c>
      <c r="K49" s="116">
        <v>-6.9799999999999995</v>
      </c>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369082.85649999999</v>
      </c>
      <c r="AT49" s="119">
        <v>16792.890083999999</v>
      </c>
      <c r="AU49" s="119"/>
      <c r="AV49" s="119"/>
      <c r="AW49" s="324"/>
    </row>
    <row r="50" spans="2:49" ht="25.5" x14ac:dyDescent="0.2">
      <c r="B50" s="161" t="s">
        <v>266</v>
      </c>
      <c r="C50" s="68"/>
      <c r="D50" s="115"/>
      <c r="E50" s="116"/>
      <c r="F50" s="116"/>
      <c r="G50" s="116"/>
      <c r="H50" s="116"/>
      <c r="I50" s="115"/>
      <c r="J50" s="115">
        <v>0.11</v>
      </c>
      <c r="K50" s="116">
        <v>0.11</v>
      </c>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4558.3399999999992</v>
      </c>
      <c r="AT50" s="119">
        <v>101.25999999999999</v>
      </c>
      <c r="AU50" s="119"/>
      <c r="AV50" s="119"/>
      <c r="AW50" s="324"/>
    </row>
    <row r="51" spans="2:49" x14ac:dyDescent="0.2">
      <c r="B51" s="161" t="s">
        <v>267</v>
      </c>
      <c r="C51" s="68"/>
      <c r="D51" s="115">
        <v>687</v>
      </c>
      <c r="E51" s="116">
        <v>687</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8054015</v>
      </c>
      <c r="AT51" s="119">
        <v>204607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v>2</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64068</v>
      </c>
      <c r="AT56" s="129">
        <v>1168</v>
      </c>
      <c r="AU56" s="129"/>
      <c r="AV56" s="129"/>
      <c r="AW56" s="315"/>
    </row>
    <row r="57" spans="2:49" x14ac:dyDescent="0.2">
      <c r="B57" s="167" t="s">
        <v>273</v>
      </c>
      <c r="C57" s="68" t="s">
        <v>25</v>
      </c>
      <c r="D57" s="130"/>
      <c r="E57" s="131"/>
      <c r="F57" s="131"/>
      <c r="G57" s="131"/>
      <c r="H57" s="131"/>
      <c r="I57" s="130"/>
      <c r="J57" s="130"/>
      <c r="K57" s="131">
        <v>2</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66220</v>
      </c>
      <c r="AT57" s="132">
        <v>2418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v>6</v>
      </c>
      <c r="AU58" s="132"/>
      <c r="AV58" s="132"/>
      <c r="AW58" s="316"/>
    </row>
    <row r="59" spans="2:49" x14ac:dyDescent="0.2">
      <c r="B59" s="167" t="s">
        <v>275</v>
      </c>
      <c r="C59" s="68" t="s">
        <v>27</v>
      </c>
      <c r="D59" s="130">
        <v>6</v>
      </c>
      <c r="E59" s="131">
        <v>6</v>
      </c>
      <c r="F59" s="131"/>
      <c r="G59" s="131"/>
      <c r="H59" s="131"/>
      <c r="I59" s="130"/>
      <c r="J59" s="130"/>
      <c r="K59" s="131">
        <v>12</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784367</v>
      </c>
      <c r="AT59" s="132">
        <v>26262</v>
      </c>
      <c r="AU59" s="132"/>
      <c r="AV59" s="132"/>
      <c r="AW59" s="316"/>
    </row>
    <row r="60" spans="2:49" x14ac:dyDescent="0.2">
      <c r="B60" s="167" t="s">
        <v>276</v>
      </c>
      <c r="C60" s="68"/>
      <c r="D60" s="133">
        <f>D$59/12</f>
        <v>0.5</v>
      </c>
      <c r="E60" s="134">
        <f>E$59/12</f>
        <v>0.5</v>
      </c>
      <c r="F60" s="134">
        <f>F$59/12</f>
        <v>0</v>
      </c>
      <c r="G60" s="134">
        <f>G$59/12</f>
        <v>0</v>
      </c>
      <c r="H60" s="134">
        <f>H$59/12</f>
        <v>0</v>
      </c>
      <c r="I60" s="133">
        <f>I$59/12</f>
        <v>0</v>
      </c>
      <c r="J60" s="133">
        <f>J$59/12</f>
        <v>0</v>
      </c>
      <c r="K60" s="134">
        <f>K$59/12</f>
        <v>1</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65363.916666666664</v>
      </c>
      <c r="AT60" s="135">
        <f>AT$59/12</f>
        <v>2188.5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-1900</v>
      </c>
      <c r="E5" s="124">
        <v>1287.24</v>
      </c>
      <c r="F5" s="124"/>
      <c r="G5" s="136"/>
      <c r="H5" s="136"/>
      <c r="I5" s="123"/>
      <c r="J5" s="123"/>
      <c r="K5" s="124">
        <v>8162.32</v>
      </c>
      <c r="L5" s="124"/>
      <c r="M5" s="124"/>
      <c r="N5" s="124"/>
      <c r="O5" s="123"/>
      <c r="P5" s="123"/>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130236858</v>
      </c>
      <c r="AT5" s="125">
        <v>2561756</v>
      </c>
      <c r="AU5" s="125"/>
      <c r="AV5" s="318"/>
      <c r="AW5" s="323"/>
    </row>
    <row r="6" spans="2:49" x14ac:dyDescent="0.2">
      <c r="B6" s="182" t="s">
        <v>279</v>
      </c>
      <c r="C6" s="139" t="s">
        <v>8</v>
      </c>
      <c r="D6" s="115">
        <v>10</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3573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4193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0.1499999999650754</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-3982300</v>
      </c>
      <c r="AT11" s="119"/>
      <c r="AU11" s="119"/>
      <c r="AV11" s="317"/>
      <c r="AW11" s="324"/>
    </row>
    <row r="12" spans="2:49" x14ac:dyDescent="0.2">
      <c r="B12" s="182" t="s">
        <v>283</v>
      </c>
      <c r="C12" s="139" t="s">
        <v>44</v>
      </c>
      <c r="D12" s="115">
        <v>-0.32000000006883056</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-2569264</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9531.18</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30465</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-13983</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5962</v>
      </c>
      <c r="E23" s="294"/>
      <c r="F23" s="294"/>
      <c r="G23" s="294"/>
      <c r="H23" s="294"/>
      <c r="I23" s="298"/>
      <c r="J23" s="115">
        <v>6375</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112593977</v>
      </c>
      <c r="AT23" s="119">
        <v>1549255</v>
      </c>
      <c r="AU23" s="119"/>
      <c r="AV23" s="317"/>
      <c r="AW23" s="324"/>
    </row>
    <row r="24" spans="2:49" ht="28.5" customHeight="1" x14ac:dyDescent="0.2">
      <c r="B24" s="184" t="s">
        <v>114</v>
      </c>
      <c r="C24" s="139"/>
      <c r="D24" s="299"/>
      <c r="E24" s="116">
        <v>-589.82000000000005</v>
      </c>
      <c r="F24" s="116"/>
      <c r="G24" s="116"/>
      <c r="H24" s="116"/>
      <c r="I24" s="115"/>
      <c r="J24" s="299"/>
      <c r="K24" s="116">
        <v>56911.259999999995</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6841</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9588358</v>
      </c>
      <c r="AT26" s="119">
        <v>233554</v>
      </c>
      <c r="AU26" s="119"/>
      <c r="AV26" s="317"/>
      <c r="AW26" s="324"/>
    </row>
    <row r="27" spans="2:49" s="11" customFormat="1" ht="25.5" x14ac:dyDescent="0.2">
      <c r="B27" s="184" t="s">
        <v>85</v>
      </c>
      <c r="C27" s="139"/>
      <c r="D27" s="299"/>
      <c r="E27" s="116">
        <v>-0.25</v>
      </c>
      <c r="F27" s="116"/>
      <c r="G27" s="116"/>
      <c r="H27" s="116"/>
      <c r="I27" s="115"/>
      <c r="J27" s="299"/>
      <c r="K27" s="116">
        <v>1730.9501</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79059</v>
      </c>
      <c r="E28" s="295"/>
      <c r="F28" s="295"/>
      <c r="G28" s="295"/>
      <c r="H28" s="295"/>
      <c r="I28" s="299"/>
      <c r="J28" s="115">
        <v>6433</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10023107</v>
      </c>
      <c r="AT28" s="119">
        <v>200097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35</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10</v>
      </c>
      <c r="AT30" s="119">
        <v>80244</v>
      </c>
      <c r="AU30" s="119"/>
      <c r="AV30" s="317"/>
      <c r="AW30" s="324"/>
    </row>
    <row r="31" spans="2:49" s="11" customFormat="1" ht="25.5" x14ac:dyDescent="0.2">
      <c r="B31" s="184" t="s">
        <v>84</v>
      </c>
      <c r="C31" s="139"/>
      <c r="D31" s="299"/>
      <c r="E31" s="116"/>
      <c r="F31" s="116"/>
      <c r="G31" s="116"/>
      <c r="H31" s="116"/>
      <c r="I31" s="115"/>
      <c r="J31" s="299"/>
      <c r="K31" s="116">
        <v>45.48</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35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108262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117361</v>
      </c>
      <c r="E36" s="116">
        <v>117361</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78382</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-159456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-3982300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25069</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-2569264</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46</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3696380</v>
      </c>
      <c r="AT49" s="119">
        <v>-24</v>
      </c>
      <c r="AU49" s="119"/>
      <c r="AV49" s="317"/>
      <c r="AW49" s="324"/>
    </row>
    <row r="50" spans="2:49" x14ac:dyDescent="0.2">
      <c r="B50" s="182" t="s">
        <v>119</v>
      </c>
      <c r="C50" s="139" t="s">
        <v>34</v>
      </c>
      <c r="D50" s="115">
        <v>232</v>
      </c>
      <c r="E50" s="295"/>
      <c r="F50" s="295"/>
      <c r="G50" s="295"/>
      <c r="H50" s="295"/>
      <c r="I50" s="299"/>
      <c r="J50" s="115">
        <v>93</v>
      </c>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2228659</v>
      </c>
      <c r="AT50" s="119">
        <v>51.000000000000007</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-130084</v>
      </c>
      <c r="E54" s="121">
        <f>E24+E27+E31+E35-E36+E39+E42+E45+E46-E49+E51+E52+E53</f>
        <v>-117952.07</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58687.6901</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109119025</v>
      </c>
      <c r="AT54" s="122">
        <f>AT23+AT26-AT28+AT30-AT32+AT34-AT36+AT38+AT41-AT43+AT45+AT46-AT47-AT49+AT50+AT51+AT52+AT53</f>
        <v>1554769</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249</v>
      </c>
      <c r="E57" s="116">
        <v>249</v>
      </c>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2028209</v>
      </c>
      <c r="AT57" s="119">
        <v>448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889492.86</v>
      </c>
      <c r="D5" s="124">
        <v>437695.13900000002</v>
      </c>
      <c r="E5" s="352"/>
      <c r="F5" s="352"/>
      <c r="G5" s="318"/>
      <c r="H5" s="123">
        <v>132723.65000000002</v>
      </c>
      <c r="I5" s="124">
        <v>61239.550799999997</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880402.95000000007</v>
      </c>
      <c r="D6" s="116">
        <v>426660.22250000003</v>
      </c>
      <c r="E6" s="121">
        <f>SUM('Pt 1 Summary of Data'!E$12,'Pt 1 Summary of Data'!E$22)+SUM('Pt 1 Summary of Data'!G$12,'Pt 1 Summary of Data'!G$22)-SUM('Pt 1 Summary of Data'!H$12,'Pt 1 Summary of Data'!H$22)</f>
        <v>-117952.07</v>
      </c>
      <c r="F6" s="121">
        <f>SUM(C6:E6)</f>
        <v>1189111.1025</v>
      </c>
      <c r="G6" s="122">
        <f>SUM('Pt 1 Summary of Data'!I$12,'Pt 1 Summary of Data'!I$22)</f>
        <v>0</v>
      </c>
      <c r="H6" s="115">
        <v>132556.10999999999</v>
      </c>
      <c r="I6" s="116">
        <v>60845.928899999999</v>
      </c>
      <c r="J6" s="121">
        <f>SUM('Pt 1 Summary of Data'!K$12,'Pt 1 Summary of Data'!K$22)+SUM('Pt 1 Summary of Data'!M$12,'Pt 1 Summary of Data'!M$22)-SUM('Pt 1 Summary of Data'!N$12,'Pt 1 Summary of Data'!N$22)</f>
        <v>58687.6901</v>
      </c>
      <c r="K6" s="121">
        <f>SUM(H6:J6)</f>
        <v>252089.72899999999</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17001.53</v>
      </c>
      <c r="D7" s="116">
        <v>10788.86</v>
      </c>
      <c r="E7" s="121">
        <f>SUM('Pt 1 Summary of Data'!E$37:E$41)+SUM('Pt 1 Summary of Data'!G$37:G$41)-SUM('Pt 1 Summary of Data'!H$37:H$41)+MAX(0,MIN('Pt 1 Summary of Data'!E$42+'Pt 1 Summary of Data'!G$42-'Pt 1 Summary of Data'!H$42,0.3%*('Pt 1 Summary of Data'!E$5+'Pt 1 Summary of Data'!G$5-'Pt 1 Summary of Data'!H$5-SUM(E$9:E$11))))</f>
        <v>2301.0699999999997</v>
      </c>
      <c r="F7" s="121">
        <f>SUM(C7:E7)</f>
        <v>30091.46</v>
      </c>
      <c r="G7" s="122">
        <f>SUM('Pt 1 Summary of Data'!I$37:I$41)+MAX(0,MIN('Pt 1 Summary of Data'!I$42,0.3%*('Pt 1 Summary of Data'!I$5-SUM(G$9:G$10))))</f>
        <v>0</v>
      </c>
      <c r="H7" s="115">
        <v>1186.4799999999998</v>
      </c>
      <c r="I7" s="116">
        <v>730.49</v>
      </c>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1916.9699999999998</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8.8817841970012523E-16</v>
      </c>
      <c r="P7" s="121">
        <f>SUM(M7:O7)</f>
        <v>8.8817841970012523E-16</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9531.18</v>
      </c>
      <c r="K10" s="121">
        <f>SUM(H10:J10)</f>
        <v>9531.18</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897404.4800000001</v>
      </c>
      <c r="D12" s="121">
        <f>SUM(D$6:D$7)+IF(AND(OR('Company Information'!$C$12="District of Columbia",'Company Information'!$C$12="Massachusetts",'Company Information'!$C$12="Vermont"),SUM($C$6:$F$11,$C$15:$F$16,$C$37:$D$37)&lt;&gt;0),SUM(I$6:I$7),0)</f>
        <v>437449.08250000002</v>
      </c>
      <c r="E12" s="121">
        <f>SUM(E$6:E$7)-SUM(E$8:E$11)+IF(AND(OR('Company Information'!$C$12="District of Columbia",'Company Information'!$C$12="Massachusetts",'Company Information'!$C$12="Vermont"),SUM($C$6:$F$11,$C$15:$F$16,$C$37:$D$37)&lt;&gt;0),SUM(J$6:J$7)-SUM(J$10:J$11),0)</f>
        <v>-115651</v>
      </c>
      <c r="F12" s="121">
        <f>IFERROR(SUM(C$12:E$12)+C$17*MAX(0,E$49-C$49)+D$17*MAX(0,E$49-D$49),0)</f>
        <v>1219202.5625</v>
      </c>
      <c r="G12" s="317"/>
      <c r="H12" s="120">
        <f>SUM(H$6:H$7)+IF(AND(OR('Company Information'!$C$12="District of Columbia",'Company Information'!$C$12="Massachusetts",'Company Information'!$C$12="Vermont"),SUM($H$6:$K$11,$H$15:$K$16,$H$37:$I$37)&lt;&gt;0),SUM(C$6:C$7),0)</f>
        <v>133742.59</v>
      </c>
      <c r="I12" s="121">
        <f>SUM(I$6:I$7)+IF(AND(OR('Company Information'!$C$12="District of Columbia",'Company Information'!$C$12="Massachusetts",'Company Information'!$C$12="Vermont"),SUM($H$6:$K$11,$H$15:$K$16,$H$37:$I$37)&lt;&gt;0),SUM(D$6:D$7),0)</f>
        <v>61576.418899999997</v>
      </c>
      <c r="J12" s="121">
        <f>SUM(J$6:J$7)-SUM(J$10:J$11)+IF(AND(OR('Company Information'!$C$12="District of Columbia",'Company Information'!$C$12="Massachusetts",'Company Information'!$C$12="Vermont"),SUM($H$6:$K$11,$H$15:$K$16,$H$37:$I$37)&lt;&gt;0),SUM(E$6:E$7)-SUM(E$8:E$11),0)</f>
        <v>49156.5101</v>
      </c>
      <c r="K12" s="121">
        <f>IFERROR(SUM(H$12:J$12)+H$17*MAX(0,J$49-H$49)+I$17*MAX(0,J$49-I$49),0)</f>
        <v>244475.51899999997</v>
      </c>
      <c r="L12" s="317"/>
      <c r="M12" s="120">
        <f>SUM(M$6:M$7)</f>
        <v>0</v>
      </c>
      <c r="N12" s="121">
        <f>SUM(N$6:N$7)</f>
        <v>0</v>
      </c>
      <c r="O12" s="121">
        <f>SUM(O$6:O$7)</f>
        <v>8.8817841970012523E-16</v>
      </c>
      <c r="P12" s="121">
        <f>SUM(M$12:O$12)+M$17*MAX(0,O$49-M$49)+N$17*MAX(0,O$49-N$49)</f>
        <v>8.8817841970012523E-16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1141075.49</v>
      </c>
      <c r="D15" s="124">
        <v>937666.95468421874</v>
      </c>
      <c r="E15" s="112">
        <f>SUM('Pt 1 Summary of Data'!E$5:E$7)+SUM('Pt 1 Summary of Data'!G$5:G$7)-SUM('Pt 1 Summary of Data'!H$5:H$7)-SUM(E$9:E$11)+D$55</f>
        <v>1440.035315781246</v>
      </c>
      <c r="F15" s="112">
        <f>SUM(C15:E15)</f>
        <v>2080182.4799999997</v>
      </c>
      <c r="G15" s="113">
        <f>SUM('Pt 1 Summary of Data'!I$5:I$7)-SUM(G$9:G$10)</f>
        <v>0</v>
      </c>
      <c r="H15" s="123">
        <v>184983.67999999999</v>
      </c>
      <c r="I15" s="124">
        <v>182444.18</v>
      </c>
      <c r="J15" s="112">
        <f>SUM('Pt 1 Summary of Data'!K$5:K$7)+SUM('Pt 1 Summary of Data'!M$5:M$7)-SUM('Pt 1 Summary of Data'!N$5:N$7)-SUM(J$10:J$11)+I$55</f>
        <v>8162.32</v>
      </c>
      <c r="K15" s="112">
        <f>SUM(H15:J15)</f>
        <v>375590.18</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69465</v>
      </c>
      <c r="D16" s="116">
        <v>46959.353850481129</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12326.956956118873</v>
      </c>
      <c r="F16" s="121">
        <f>SUM(C16:E16)</f>
        <v>128751.3108066</v>
      </c>
      <c r="G16" s="122">
        <f>SUM('Pt 1 Summary of Data'!I$25:I$28,'Pt 1 Summary of Data'!I$30,'Pt 1 Summary of Data'!I$34:I$35)+IF('Company Information'!$C$15="No",IF(MAX('Pt 1 Summary of Data'!I$31:I$32)=0,MIN('Pt 1 Summary of Data'!I$31:I$32),MAX('Pt 1 Summary of Data'!I$31:I$32)),SUM('Pt 1 Summary of Data'!I$31:I$32))</f>
        <v>0</v>
      </c>
      <c r="H16" s="115">
        <v>-1053</v>
      </c>
      <c r="I16" s="116">
        <v>40667</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7.5499999999999545</v>
      </c>
      <c r="K16" s="121">
        <f>SUM(H16:J16)</f>
        <v>39621.550000000003</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1071610.49</v>
      </c>
      <c r="D17" s="121">
        <f>D$15-D$16+IF(AND(OR('Company Information'!$C$12="District of Columbia",'Company Information'!$C$12="Massachusetts",'Company Information'!$C$12="Vermont"),SUM($C$6:$F$11,$C$15:$F$16,$C$37:$D$37)&lt;&gt;0),I$15-I$16,0)</f>
        <v>890707.60083373764</v>
      </c>
      <c r="E17" s="121">
        <f>E$15-E$16+IF(AND(OR('Company Information'!$C$12="District of Columbia",'Company Information'!$C$12="Massachusetts",'Company Information'!$C$12="Vermont"),SUM($C$6:$F$11,$C$15:$F$16,$C$37:$D$37)&lt;&gt;0),J$15-J$16,0)</f>
        <v>-10886.921640337627</v>
      </c>
      <c r="F17" s="121">
        <f>F$15-F$16+IF(AND(OR('Company Information'!$C$12="District of Columbia",'Company Information'!$C$12="Massachusetts",'Company Information'!$C$12="Vermont"),SUM($C$6:$F$11,$C$15:$F$16,$C$37:$D$37)&lt;&gt;0),K$15-K$16,0)</f>
        <v>1951431.1691933998</v>
      </c>
      <c r="G17" s="320"/>
      <c r="H17" s="120">
        <f>H$15-H$16+IF(AND(OR('Company Information'!$C$12="District of Columbia",'Company Information'!$C$12="Massachusetts",'Company Information'!$C$12="Vermont"),SUM($H$6:$K$11,$H$15:$K$16,$H$37:$I$37)&lt;&gt;0),C$15-C$16,0)</f>
        <v>186036.68</v>
      </c>
      <c r="I17" s="121">
        <f>I$15-I$16+IF(AND(OR('Company Information'!$C$12="District of Columbia",'Company Information'!$C$12="Massachusetts",'Company Information'!$C$12="Vermont"),SUM($H$6:$K$11,$H$15:$K$16,$H$37:$I$37)&lt;&gt;0),D$15-D$16,0)</f>
        <v>141777.18</v>
      </c>
      <c r="J17" s="121">
        <f>J$15-J$16+IF(AND(OR('Company Information'!$C$12="District of Columbia",'Company Information'!$C$12="Massachusetts",'Company Information'!$C$12="Vermont"),SUM($H$6:$K$11,$H$15:$K$16,$H$37:$I$37)&lt;&gt;0),E$15-E$16,0)</f>
        <v>8154.7699999999995</v>
      </c>
      <c r="K17" s="121">
        <f>K$15-K$16+IF(AND(OR('Company Information'!$C$12="District of Columbia",'Company Information'!$C$12="Massachusetts",'Company Information'!$C$12="Vermont"),SUM($H$6:$K$11,$H$15:$K$16,$H$37:$I$37)&lt;&gt;0),F$15-F$16,0)</f>
        <v>335968.63</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626.08333333333337</v>
      </c>
      <c r="D37" s="128">
        <v>450</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0.5</v>
      </c>
      <c r="F37" s="262">
        <f>SUM(C$37:E$37)+IF(AND(OR('Company Information'!$C$12="District of Columbia",'Company Information'!$C$12="Massachusetts",'Company Information'!$C$12="Vermont"),SUM($C$6:$F$11,$C$15:$F$16,$C$37:$D$37)&lt;&gt;0,SUM(C$37:D$37)&lt;&gt;SUM(H$37:I$37)),SUM(H$37:I$37),0)</f>
        <v>1076.5833333333335</v>
      </c>
      <c r="G37" s="318"/>
      <c r="H37" s="127">
        <v>15</v>
      </c>
      <c r="I37" s="128">
        <v>14</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v>
      </c>
      <c r="K37" s="262">
        <f>SUM(H$37:J$37)+IF(AND(OR('Company Information'!$C$12="District of Columbia",'Company Information'!$C$12="Massachusetts",'Company Information'!$C$12="Vermont"),SUM($H$6:$K$11,$H$15:$K$16,$H$37:$I$37)&lt;&gt;0,SUM(H$37:I$37)&lt;&gt;SUM(C$37:D$37)),SUM(C$37:D$37),0)</f>
        <v>30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8.1417277777777783E-2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5098.8058551617878</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1.4086002311248074</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0.11468439629533042</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f>IF(OR(F$37&lt;1000,F$17&lt;=0),"",F$12/F$17)</f>
        <v>0.62477354146390029</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0.11468439629533042</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0.73899999999999999</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v>
      </c>
      <c r="N49" s="147">
        <v>0</v>
      </c>
      <c r="O49" s="147">
        <v>0</v>
      </c>
      <c r="P49" s="147">
        <v>0</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2044</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0.73899999999999999</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0</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152.79531578124602</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7.6461495188727806</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2</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79272.976474202718</v>
      </c>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4831.5199999999986</v>
      </c>
      <c r="D22" s="218"/>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506</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