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H4" i="16"/>
  <c r="G4" i="16"/>
  <c r="F4" i="16"/>
  <c r="E4" i="16"/>
  <c r="D4" i="16"/>
  <c r="C4" i="16"/>
  <c r="AB52" i="10"/>
  <c r="X52" i="10"/>
  <c r="G11" i="16" s="1"/>
  <c r="T52" i="10"/>
  <c r="F11" i="16" s="1"/>
  <c r="AB51" i="10"/>
  <c r="X51" i="10"/>
  <c r="T51" i="10"/>
  <c r="P51" i="10"/>
  <c r="K51" i="10"/>
  <c r="F51" i="10"/>
  <c r="AB50" i="10"/>
  <c r="AB47" i="10"/>
  <c r="X47" i="10"/>
  <c r="X50" i="10" s="1"/>
  <c r="AB46" i="10"/>
  <c r="AB45" i="10"/>
  <c r="AA45" i="10"/>
  <c r="Z45" i="10"/>
  <c r="Y45" i="10"/>
  <c r="X45" i="10"/>
  <c r="X46"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AB40" i="10"/>
  <c r="X40" i="10"/>
  <c r="T40" i="10"/>
  <c r="P40" i="10"/>
  <c r="K40" i="10"/>
  <c r="F40" i="10"/>
  <c r="F38" i="10"/>
  <c r="AB37" i="10"/>
  <c r="AA37" i="10"/>
  <c r="X37" i="10"/>
  <c r="W37" i="10"/>
  <c r="T37" i="10"/>
  <c r="S37" i="10"/>
  <c r="P37" i="10"/>
  <c r="O37" i="10"/>
  <c r="K37" i="10"/>
  <c r="J37" i="10"/>
  <c r="F37" i="10"/>
  <c r="E37" i="10"/>
  <c r="L29" i="10"/>
  <c r="L28" i="10"/>
  <c r="L25" i="10"/>
  <c r="L24" i="10"/>
  <c r="L23" i="10" s="1"/>
  <c r="L27" i="10" s="1"/>
  <c r="L31" i="10" s="1"/>
  <c r="L32" i="10" s="1"/>
  <c r="L33" i="10" s="1"/>
  <c r="L21" i="10"/>
  <c r="L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U13" i="10" s="1"/>
  <c r="W16" i="10"/>
  <c r="T16" i="10"/>
  <c r="S16" i="10"/>
  <c r="Q13" i="10" s="1"/>
  <c r="P16" i="10"/>
  <c r="O16" i="10"/>
  <c r="L16" i="10"/>
  <c r="K16" i="10"/>
  <c r="J16" i="10"/>
  <c r="G16" i="10"/>
  <c r="F16" i="10"/>
  <c r="E16" i="10"/>
  <c r="AB15" i="10"/>
  <c r="AA15" i="10"/>
  <c r="X15" i="10"/>
  <c r="V13" i="10" s="1"/>
  <c r="W15" i="10"/>
  <c r="T15" i="10"/>
  <c r="S15" i="10"/>
  <c r="P15" i="10"/>
  <c r="O15" i="10"/>
  <c r="L15" i="10"/>
  <c r="K15" i="10"/>
  <c r="J15" i="10"/>
  <c r="G15" i="10"/>
  <c r="F15" i="10"/>
  <c r="E15" i="10"/>
  <c r="AB13" i="10"/>
  <c r="AA13" i="10"/>
  <c r="Z13" i="10"/>
  <c r="Y13" i="10"/>
  <c r="W13" i="10"/>
  <c r="R13" i="10"/>
  <c r="P12" i="10"/>
  <c r="O12" i="10"/>
  <c r="N12" i="10"/>
  <c r="M12" i="10"/>
  <c r="J12" i="10"/>
  <c r="I12" i="10"/>
  <c r="H12" i="10"/>
  <c r="K11" i="10"/>
  <c r="J11" i="10"/>
  <c r="F11" i="10"/>
  <c r="E11" i="10"/>
  <c r="L10" i="10"/>
  <c r="K10" i="10"/>
  <c r="J10" i="10"/>
  <c r="G10" i="10"/>
  <c r="F10" i="10"/>
  <c r="E10" i="10"/>
  <c r="G9" i="10"/>
  <c r="G7" i="10" s="1"/>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Y55" i="18"/>
  <c r="X55" i="18"/>
  <c r="X22" i="4" s="1"/>
  <c r="W55" i="18"/>
  <c r="V55" i="18"/>
  <c r="U55" i="18"/>
  <c r="T55" i="18"/>
  <c r="S55" i="18"/>
  <c r="R55" i="18"/>
  <c r="Q55" i="18"/>
  <c r="P55" i="18"/>
  <c r="O55" i="18"/>
  <c r="O22" i="4" s="1"/>
  <c r="N55" i="18"/>
  <c r="M55" i="18"/>
  <c r="L55" i="18"/>
  <c r="K55" i="18"/>
  <c r="J55" i="18"/>
  <c r="I55" i="18"/>
  <c r="I22" i="4" s="1"/>
  <c r="H55" i="18"/>
  <c r="G55" i="18"/>
  <c r="F55" i="18"/>
  <c r="E55" i="18"/>
  <c r="D55" i="18"/>
  <c r="AU54" i="18"/>
  <c r="AT54" i="18"/>
  <c r="AS54" i="18"/>
  <c r="AC54" i="18"/>
  <c r="AB54" i="18"/>
  <c r="AA54" i="18"/>
  <c r="Z54" i="18"/>
  <c r="Z12" i="4" s="1"/>
  <c r="Y54" i="18"/>
  <c r="X54" i="18"/>
  <c r="W54" i="18"/>
  <c r="V54" i="18"/>
  <c r="U54" i="18"/>
  <c r="T54" i="18"/>
  <c r="S54" i="18"/>
  <c r="R54" i="18"/>
  <c r="Q54" i="18"/>
  <c r="P54" i="18"/>
  <c r="O54" i="18"/>
  <c r="N54" i="18"/>
  <c r="M54" i="18"/>
  <c r="L54" i="18"/>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Z22" i="4"/>
  <c r="Y22" i="4"/>
  <c r="W22" i="4"/>
  <c r="V22" i="4"/>
  <c r="U22" i="4"/>
  <c r="T22" i="4"/>
  <c r="S22" i="4"/>
  <c r="R22" i="4"/>
  <c r="Q22" i="4"/>
  <c r="P22" i="4"/>
  <c r="N22" i="4"/>
  <c r="M22" i="4"/>
  <c r="L22" i="4"/>
  <c r="K22" i="4"/>
  <c r="J22" i="4"/>
  <c r="H22" i="4"/>
  <c r="G22" i="4"/>
  <c r="F22" i="4"/>
  <c r="E22" i="4"/>
  <c r="D22" i="4"/>
  <c r="AU12" i="4"/>
  <c r="AT12" i="4"/>
  <c r="AS12" i="4"/>
  <c r="AC12" i="4"/>
  <c r="AB12" i="4"/>
  <c r="AA12" i="4"/>
  <c r="Y12" i="4"/>
  <c r="X12" i="4"/>
  <c r="W12" i="4"/>
  <c r="V12" i="4"/>
  <c r="U12" i="4"/>
  <c r="T12" i="4"/>
  <c r="S12" i="4"/>
  <c r="R12" i="4"/>
  <c r="Q12" i="4"/>
  <c r="P12" i="4"/>
  <c r="O12" i="4"/>
  <c r="N12" i="4"/>
  <c r="M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0" i="10" l="1"/>
  <c r="G29" i="10"/>
  <c r="G19" i="10"/>
  <c r="G24" i="10" s="1"/>
  <c r="G23" i="10" s="1"/>
  <c r="G21" i="10"/>
  <c r="G25" i="10"/>
  <c r="G28" i="10"/>
  <c r="L26" i="10"/>
  <c r="L30" i="10" s="1"/>
  <c r="X38" i="10"/>
  <c r="T13" i="10"/>
  <c r="T46" i="10"/>
  <c r="AB38" i="10"/>
  <c r="P38" i="10"/>
  <c r="P41" i="10" s="1"/>
  <c r="P46" i="10" s="1"/>
  <c r="P47" i="10" s="1"/>
  <c r="P50" i="10" s="1"/>
  <c r="P52" i="10" s="1"/>
  <c r="E11" i="16" s="1"/>
  <c r="K38" i="10"/>
  <c r="K41" i="10" s="1"/>
  <c r="K46" i="10" s="1"/>
  <c r="K47" i="10" s="1"/>
  <c r="K50" i="10" s="1"/>
  <c r="K52" i="10" s="1"/>
  <c r="D11" i="16" s="1"/>
  <c r="F41" i="10"/>
  <c r="F46" i="10" s="1"/>
  <c r="F47" i="10" s="1"/>
  <c r="F50" i="10" s="1"/>
  <c r="F52" i="10" s="1"/>
  <c r="C11" i="16" s="1"/>
  <c r="X13" i="10"/>
  <c r="K12" i="10"/>
  <c r="D12" i="10"/>
  <c r="F12" i="10" s="1"/>
  <c r="E12" i="10"/>
  <c r="C12" i="10"/>
  <c r="S13" i="10"/>
  <c r="E7" i="10"/>
  <c r="F7" i="10" s="1"/>
  <c r="G27" i="10" l="1"/>
  <c r="G31" i="10" l="1"/>
  <c r="G32" i="10" s="1"/>
  <c r="G33" i="10" s="1"/>
  <c r="G26" i="10"/>
  <c r="G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<sst xmlns="http://schemas.openxmlformats.org/spreadsheetml/2006/main" count="569" uniqueCount="508">
  <si>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</si>
  <si>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</si>
  <si>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</si>
  <si>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</si>
  <si>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</si>
  <si>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</si>
  <si>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</si>
  <si>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</si>
  <si>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</si>
  <si>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</si>
  <si>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</si>
  <si>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</si>
  <si>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</si>
  <si>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</si>
  <si>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</si>
  <si>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</si>
  <si>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</si>
  <si>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</si>
  <si>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</si>
  <si>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</si>
  <si>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</si>
  <si>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</si>
  <si>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</si>
  <si>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</si>
  <si>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</si>
  <si>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</si>
  <si>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</si>
  <si>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</si>
  <si>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</si>
  <si>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</si>
  <si>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</si>
  <si>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</si>
  <si>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</si>
  <si>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</si>
  <si>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</si>
  <si>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</si>
  <si>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</si>
  <si>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</si>
  <si>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</si>
  <si>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</si>
  <si>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</si>
  <si>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</si>
  <si>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</si>
  <si>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</si>
  <si>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</si>
  <si>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</si>
  <si>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</si>
  <si>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</si>
  <si>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</si>
  <si>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</si>
  <si>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</si>
  <si>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</si>
  <si>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</si>
  <si>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</si>
  <si>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</si>
  <si>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</si>
  <si>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</si>
  <si>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</si>
  <si>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</si>
  <si>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</si>
  <si>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</si>
  <si>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</si>
  <si>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</si>
  <si>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</si>
  <si>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</si>
  <si>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</si>
  <si>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</si>
  <si>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</si>
  <si>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</si>
  <si>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</si>
  <si>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</si>
  <si>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</si>
  <si>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</si>
  <si>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</si>
  <si>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</si>
  <si>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</si>
  <si>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</si>
  <si>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</si>
  <si>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</si>
  <si>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</si>
  <si>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</si>
  <si>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</si>
  <si>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</si>
  <si>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</si>
  <si>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</si>
  <si>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</si>
  <si>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</si>
  <si>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</si>
  <si>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</si>
  <si>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</si>
  <si>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</si>
  <si>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</si>
  <si>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</si>
  <si>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</si>
  <si>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</si>
  <si>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</si>
  <si>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</si>
  <si>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</si>
  <si>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</si>
  <si>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</si>
  <si>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</si>
  <si>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</si>
  <si>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</si>
  <si>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</si>
  <si>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</si>
  <si>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</si>
  <si>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</si>
  <si>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</si>
  <si>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</si>
  <si>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</si>
  <si>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</si>
  <si>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</si>
  <si>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</si>
  <si>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</si>
  <si>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</si>
  <si>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</si>
  <si>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</si>
  <si>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</si>
  <si>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</si>
  <si>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</si>
  <si>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</si>
  <si>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</si>
  <si>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</si>
  <si>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</si>
  <si>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</si>
  <si>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</si>
  <si>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</si>
  <si>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</si>
  <si>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</si>
  <si>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</si>
  <si>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</si>
  <si>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</si>
  <si>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</si>
  <si>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</si>
  <si>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</si>
  <si>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</si>
  <si>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</si>
  <si>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</si>
  <si>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</si>
  <si>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</si>
  <si>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</si>
  <si>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</si>
  <si>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</si>
  <si>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</si>
  <si>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</si>
  <si>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</si>
  <si>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</si>
  <si>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</si>
  <si>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</si>
  <si>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</si>
  <si>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</si>
  <si>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</si>
  <si>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</si>
  <si>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</si>
  <si>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</si>
  <si>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</si>
  <si>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</si>
  <si>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</si>
  <si>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</si>
  <si>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</si>
  <si>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</si>
  <si>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</si>
  <si>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</si>
  <si>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</si>
  <si>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</si>
  <si>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</si>
  <si>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</si>
  <si>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</si>
  <si>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</si>
  <si>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</si>
  <si>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</si>
  <si>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</si>
  <si>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</si>
  <si>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</si>
  <si>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</si>
  <si>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</si>
  <si>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</si>
  <si>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</si>
  <si>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</si>
  <si>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</si>
  <si>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</si>
  <si>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</si>
  <si>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</si>
  <si>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</si>
  <si>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</si>
  <si>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</si>
  <si>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</si>
  <si>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</si>
  <si>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</si>
  <si>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</si>
  <si>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</si>
  <si>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</si>
  <si>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</si>
  <si>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</si>
  <si>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</si>
  <si>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</si>
  <si>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</si>
  <si>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</si>
  <si>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</si>
  <si>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</si>
  <si>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</si>
  <si>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</si>
  <si>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</si>
  <si>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</si>
  <si>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</si>
  <si>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</si>
  <si>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</si>
  <si>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</si>
  <si>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</si>
  <si>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</si>
  <si>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</si>
  <si>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</si>
  <si>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</si>
  <si>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</si>
  <si>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</si>
  <si>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</si>
  <si>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</si>
  <si>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</si>
  <si>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</si>
  <si>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</si>
  <si>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</si>
  <si>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</si>
  <si>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</si>
  <si>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</si>
  <si>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</si>
  <si>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</si>
  <si>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</si>
  <si>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</si>
  <si>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</si>
  <si>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</si>
  <si>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</si>
  <si>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</si>
  <si>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</si>
  <si>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</si>
  <si>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</si>
  <si>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</si>
  <si>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</si>
  <si>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</si>
  <si>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</si>
  <si>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</si>
  <si>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</si>
  <si>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</si>
  <si>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</si>
  <si>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</si>
  <si>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</si>
  <si>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</si>
  <si>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</si>
  <si>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</si>
  <si>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</si>
  <si>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</si>
  <si>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</si>
  <si>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</si>
  <si>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</si>
  <si>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</si>
  <si>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</si>
  <si>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</si>
  <si>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</si>
  <si>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</si>
  <si>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</si>
  <si>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</si>
  <si>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</si>
  <si>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</si>
  <si>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</si>
  <si>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</si>
  <si>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</si>
  <si>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</si>
  <si>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</si>
  <si>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</si>
  <si>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</si>
  <si>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</si>
  <si>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</si>
  <si>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</si>
  <si>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</si>
  <si>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</si>
  <si>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</si>
  <si>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</si>
  <si>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</si>
  <si>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</si>
  <si>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</si>
  <si>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</si>
  <si>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</si>
  <si>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</si>
  <si>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</si>
  <si>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</si>
  <si>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</si>
  <si>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</si>
  <si>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</si>
  <si>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</si>
  <si>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</si>
  <si>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</si>
  <si>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</si>
  <si>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</si>
  <si>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</si>
  <si>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</si>
  <si>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</si>
  <si>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</si>
  <si>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</si>
  <si>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</si>
  <si>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</si>
  <si>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</si>
  <si>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</si>
  <si>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</si>
  <si>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</si>
  <si>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</si>
  <si>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</si>
  <si>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</si>
  <si>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</si>
  <si>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</si>
  <si>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</si>
  <si>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</si>
  <si>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</si>
  <si>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</si>
  <si>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</si>
  <si>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</si>
  <si>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</si>
  <si>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</si>
  <si>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</si>
  <si>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</si>
  <si>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</si>
  <si>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</si>
  <si>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</si>
  <si>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</si>
  <si>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</si>
  <si>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</si>
  <si>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</si>
  <si>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</si>
  <si>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</si>
  <si>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</si>
  <si>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</si>
  <si>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</si>
  <si>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</si>
  <si>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</si>
  <si>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</si>
  <si>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</si>
  <si>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</si>
  <si>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</si>
  <si>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</si>
  <si>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</si>
  <si>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</si>
  <si>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</si>
  <si>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</si>
  <si>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</si>
  <si>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</si>
  <si>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</si>
  <si>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</si>
  <si>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</si>
  <si>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</si>
  <si>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</si>
  <si>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</si>
  <si>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</si>
  <si>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</si>
  <si>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</si>
  <si>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</si>
  <si>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</si>
  <si>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</si>
  <si>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</si>
  <si>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</si>
  <si>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</si>
  <si>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</si>
  <si>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</si>
  <si>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</si>
  <si>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</si>
  <si>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</si>
  <si>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</si>
  <si>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</si>
  <si>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</si>
  <si>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</si>
  <si>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</si>
  <si>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</si>
  <si>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</si>
  <si>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</si>
  <si>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</si>
  <si>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</si>
  <si>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</si>
  <si>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</si>
  <si>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</si>
  <si>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</si>
  <si>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</si>
  <si>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</si>
  <si>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</si>
  <si>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</si>
  <si>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</si>
  <si>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</si>
  <si>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</si>
  <si>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</si>
  <si>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</si>
  <si>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</si>
  <si>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</si>
  <si>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</si>
  <si>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</si>
  <si>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</si>
  <si>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</si>
  <si>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</si>
  <si>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</si>
  <si>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</si>
  <si>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</si>
  <si>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</si>
  <si>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</si>
  <si>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</si>
  <si>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</si>
  <si>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</si>
  <si>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</si>
  <si>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</si>
  <si>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</si>
  <si>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</si>
  <si>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</si>
  <si>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</si>
  <si>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</si>
  <si>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</si>
  <si>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</si>
  <si>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</si>
  <si>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</si>
  <si>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</si>
  <si>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</si>
  <si>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</si>
  <si>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</si>
  <si>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</si>
  <si>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</si>
  <si>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</si>
  <si>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</si>
  <si>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</si>
  <si>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</si>
  <si>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</si>
  <si>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</si>
  <si>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</si>
  <si>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</si>
  <si>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</si>
  <si>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</si>
  <si>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</si>
  <si>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</si>
  <si>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</si>
  <si>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</si>
  <si>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</si>
  <si>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</si>
  <si>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</si>
  <si>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</si>
  <si>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</si>
  <si>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</si>
  <si>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</si>
  <si>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</si>
  <si>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</si>
  <si>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</si>
  <si>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</si>
  <si>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</si>
  <si>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</si>
  <si>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</si>
  <si>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</si>
  <si>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</si>
  <si>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</si>
  <si>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</si>
  <si>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</si>
  <si>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</si>
  <si>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</si>
  <si>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</si>
  <si>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</si>
  <si>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</si>
  <si>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</si>
  <si>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</si>
  <si>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</si>
  <si>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</si>
  <si>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</si>
  <si>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</si>
  <si>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</si>
  <si>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</si>
  <si>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</si>
  <si>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</si>
  <si>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</si>
  <si>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</si>
  <si>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</si>
  <si>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</si>
  <si>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</si>
  <si>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</si>
  <si>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</si>
  <si>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</si>
  <si>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</si>
  <si>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</si>
  <si>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</si>
  <si>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</si>
  <si>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</si>
  <si>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</si>
  <si>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</si>
  <si>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</si>
  <si>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</si>
  <si>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</si>
  <si>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</si>
  <si>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</si>
  <si>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</si>
  <si>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</si>
  <si>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</si>
  <si>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</si>
  <si>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</si>
  <si>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</si>
  <si>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</si>
  <si>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</si>
  <si>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</si>
  <si>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</si>
  <si>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</si>
  <si>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</si>
  <si>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</si>
  <si>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</si>
  <si>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</si>
  <si>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</si>
  <si>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</si>
  <si>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20895</t>
  </si>
  <si>
    <t>219</t>
  </si>
  <si>
    <t>Humana Employers Health Plan of Georgia, Inc.</t>
  </si>
  <si>
    <t>Humana Health Plan,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</si>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</sst>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174</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8934267</v>
      </c>
      <c r="E5" s="112">
        <f>SUM('Pt 2 Premium and Claims'!E$5,'Pt 2 Premium and Claims'!E$6,-'Pt 2 Premium and Claims'!E$7,-'Pt 2 Premium and Claims'!E$13,'Pt 2 Premium and Claims'!E$14:'Pt 2 Premium and Claims'!E$17)</f>
        <v>11387750.369999999</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20249966</v>
      </c>
      <c r="K5" s="112">
        <f>SUM('Pt 2 Premium and Claims'!K$5,'Pt 2 Premium and Claims'!K$6,-'Pt 2 Premium and Claims'!K$7,-'Pt 2 Premium and Claims'!K$13,'Pt 2 Premium and Claims'!K$14,'Pt 2 Premium and Claims'!K$16:'Pt 2 Premium and Claims'!K$17)</f>
        <v>18727973.174064707</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2735036</v>
      </c>
      <c r="Q5" s="112">
        <f>SUM('Pt 2 Premium and Claims'!Q$5,'Pt 2 Premium and Claims'!Q$6,-'Pt 2 Premium and Claims'!Q$7,-'Pt 2 Premium and Claims'!Q$13,'Pt 2 Premium and Claims'!Q$14)</f>
        <v>2833930.0092889005</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91884058</v>
      </c>
      <c r="AT5" s="113">
        <f>SUM('Pt 2 Premium and Claims'!AT$5,'Pt 2 Premium and Claims'!AT$6,-'Pt 2 Premium and Claims'!AT$7,-'Pt 2 Premium and Claims'!AT$13,'Pt 2 Premium and Claims'!AT$14)</f>
        <v>8544901</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-10477</v>
      </c>
      <c r="E7" s="116">
        <v>-10477</v>
      </c>
      <c r="F7" s="116"/>
      <c r="G7" s="116"/>
      <c r="H7" s="116"/>
      <c r="I7" s="115"/>
      <c r="J7" s="115">
        <v>-22399</v>
      </c>
      <c r="K7" s="116">
        <v>-21643.798578985356</v>
      </c>
      <c r="L7" s="116"/>
      <c r="M7" s="116"/>
      <c r="N7" s="116"/>
      <c r="O7" s="115"/>
      <c r="P7" s="115">
        <v>-5112</v>
      </c>
      <c r="Q7" s="116">
        <v>-4186.3283320012297</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-46713</v>
      </c>
      <c r="E8" s="295"/>
      <c r="F8" s="296"/>
      <c r="G8" s="296"/>
      <c r="H8" s="296"/>
      <c r="I8" s="299"/>
      <c r="J8" s="115">
        <v>-35392</v>
      </c>
      <c r="K8" s="295"/>
      <c r="L8" s="296"/>
      <c r="M8" s="296"/>
      <c r="N8" s="296"/>
      <c r="O8" s="299"/>
      <c r="P8" s="115">
        <v>-3465</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12539</v>
      </c>
      <c r="AT8" s="119">
        <v>-90932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12564660</v>
      </c>
      <c r="E12" s="112">
        <f>'Pt 2 Premium and Claims'!E$54</f>
        <v>12724866.6448</v>
      </c>
      <c r="F12" s="112">
        <f>'Pt 2 Premium and Claims'!F$54</f>
        <v>0</v>
      </c>
      <c r="G12" s="112">
        <f>'Pt 2 Premium and Claims'!G$54</f>
        <v>0</v>
      </c>
      <c r="H12" s="112">
        <f>'Pt 2 Premium and Claims'!H$54</f>
        <v>0</v>
      </c>
      <c r="I12" s="111">
        <f>'Pt 2 Premium and Claims'!I$54</f>
        <v>0</v>
      </c>
      <c r="J12" s="111">
        <f>'Pt 2 Premium and Claims'!J$54</f>
        <v>16949792</v>
      </c>
      <c r="K12" s="112">
        <f>'Pt 2 Premium and Claims'!K$54</f>
        <v>15589356.944761954</v>
      </c>
      <c r="L12" s="112">
        <f>'Pt 2 Premium and Claims'!L$54</f>
        <v>0</v>
      </c>
      <c r="M12" s="112">
        <f>'Pt 2 Premium and Claims'!M$54</f>
        <v>0</v>
      </c>
      <c r="N12" s="112">
        <f>'Pt 2 Premium and Claims'!N$54</f>
        <v>0</v>
      </c>
      <c r="O12" s="111">
        <f>'Pt 2 Premium and Claims'!O$54</f>
        <v>0</v>
      </c>
      <c r="P12" s="111">
        <f>'Pt 2 Premium and Claims'!P$54</f>
        <v>3057481</v>
      </c>
      <c r="Q12" s="112">
        <f>'Pt 2 Premium and Claims'!Q$54</f>
        <v>3292910.7573380461</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73978925</v>
      </c>
      <c r="AT12" s="113">
        <f>'Pt 2 Premium and Claims'!AT$54</f>
        <v>5432541</v>
      </c>
      <c r="AU12" s="113">
        <f>'Pt 2 Premium and Claims'!AU$54</f>
        <v>0</v>
      </c>
      <c r="AV12" s="318"/>
      <c r="AW12" s="323"/>
    </row>
    <row r="13" spans="1:49" ht="25.5" x14ac:dyDescent="0.2">
      <c r="B13" s="161" t="s">
        <v>230</v>
      </c>
      <c r="C13" s="68" t="s">
        <v>37</v>
      </c>
      <c r="D13" s="115">
        <v>1186874</v>
      </c>
      <c r="E13" s="116">
        <v>1101601.6000000001</v>
      </c>
      <c r="F13" s="116"/>
      <c r="G13" s="295"/>
      <c r="H13" s="296"/>
      <c r="I13" s="115"/>
      <c r="J13" s="115">
        <v>1972440</v>
      </c>
      <c r="K13" s="116">
        <v>1901184.8724564</v>
      </c>
      <c r="L13" s="116"/>
      <c r="M13" s="295"/>
      <c r="N13" s="296"/>
      <c r="O13" s="115"/>
      <c r="P13" s="115">
        <v>245754</v>
      </c>
      <c r="Q13" s="116">
        <v>319445.74754360307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44615146</v>
      </c>
      <c r="AT13" s="119">
        <v>1414</v>
      </c>
      <c r="AU13" s="119"/>
      <c r="AV13" s="317"/>
      <c r="AW13" s="324"/>
    </row>
    <row r="14" spans="1:49" ht="25.5" x14ac:dyDescent="0.2">
      <c r="B14" s="161" t="s">
        <v>231</v>
      </c>
      <c r="C14" s="68" t="s">
        <v>6</v>
      </c>
      <c r="D14" s="115">
        <v>88087</v>
      </c>
      <c r="E14" s="116">
        <v>83573.949999999983</v>
      </c>
      <c r="F14" s="116"/>
      <c r="G14" s="294"/>
      <c r="H14" s="297"/>
      <c r="I14" s="115"/>
      <c r="J14" s="115">
        <v>193854</v>
      </c>
      <c r="K14" s="116">
        <v>181809.71936813398</v>
      </c>
      <c r="L14" s="116"/>
      <c r="M14" s="294"/>
      <c r="N14" s="297"/>
      <c r="O14" s="115"/>
      <c r="P14" s="115">
        <v>39752</v>
      </c>
      <c r="Q14" s="116">
        <v>50167.180631865602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12930882</v>
      </c>
      <c r="AT14" s="119">
        <v>817</v>
      </c>
      <c r="AU14" s="119"/>
      <c r="AV14" s="317"/>
      <c r="AW14" s="324"/>
    </row>
    <row r="15" spans="1:49" ht="38.25" x14ac:dyDescent="0.2">
      <c r="B15" s="161" t="s">
        <v>232</v>
      </c>
      <c r="C15" s="68" t="s">
        <v>7</v>
      </c>
      <c r="D15" s="115">
        <v>317</v>
      </c>
      <c r="E15" s="116">
        <v>317</v>
      </c>
      <c r="F15" s="116"/>
      <c r="G15" s="294"/>
      <c r="H15" s="300"/>
      <c r="I15" s="115"/>
      <c r="J15" s="115">
        <v>686</v>
      </c>
      <c r="K15" s="116">
        <v>686</v>
      </c>
      <c r="L15" s="116"/>
      <c r="M15" s="294"/>
      <c r="N15" s="300"/>
      <c r="O15" s="115"/>
      <c r="P15" s="115">
        <v>73</v>
      </c>
      <c r="Q15" s="116">
        <v>73</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3000</v>
      </c>
      <c r="AT15" s="119">
        <v>528</v>
      </c>
      <c r="AU15" s="119"/>
      <c r="AV15" s="317"/>
      <c r="AW15" s="324"/>
    </row>
    <row r="16" spans="1:49" ht="25.5" x14ac:dyDescent="0.2">
      <c r="B16" s="161" t="s">
        <v>233</v>
      </c>
      <c r="C16" s="68" t="s">
        <v>61</v>
      </c>
      <c r="D16" s="115">
        <v>-2438967</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10921</v>
      </c>
      <c r="AT16" s="119">
        <v>124563</v>
      </c>
      <c r="AU16" s="119"/>
      <c r="AV16" s="317"/>
      <c r="AW16" s="324"/>
    </row>
    <row r="17" spans="1:49" x14ac:dyDescent="0.2">
      <c r="B17" s="161" t="s">
        <v>234</v>
      </c>
      <c r="C17" s="68" t="s">
        <v>62</v>
      </c>
      <c r="D17" s="115">
        <v>129711.99999999999</v>
      </c>
      <c r="E17" s="294"/>
      <c r="F17" s="297"/>
      <c r="G17" s="297"/>
      <c r="H17" s="297"/>
      <c r="I17" s="298"/>
      <c r="J17" s="115">
        <v>-59504</v>
      </c>
      <c r="K17" s="294"/>
      <c r="L17" s="297"/>
      <c r="M17" s="297"/>
      <c r="N17" s="297"/>
      <c r="O17" s="298"/>
      <c r="P17" s="115">
        <v>-230962</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-149151</v>
      </c>
      <c r="AU17" s="119"/>
      <c r="AV17" s="317"/>
      <c r="AW17" s="324"/>
    </row>
    <row r="18" spans="1:49" x14ac:dyDescent="0.2">
      <c r="B18" s="161" t="s">
        <v>235</v>
      </c>
      <c r="C18" s="68" t="s">
        <v>63</v>
      </c>
      <c r="D18" s="115"/>
      <c r="E18" s="294"/>
      <c r="F18" s="297"/>
      <c r="G18" s="297"/>
      <c r="H18" s="300"/>
      <c r="I18" s="298"/>
      <c r="J18" s="115">
        <v>66281</v>
      </c>
      <c r="K18" s="294"/>
      <c r="L18" s="297"/>
      <c r="M18" s="297"/>
      <c r="N18" s="300"/>
      <c r="O18" s="298"/>
      <c r="P18" s="115">
        <v>89468</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161662</v>
      </c>
      <c r="E19" s="294"/>
      <c r="F19" s="297"/>
      <c r="G19" s="297"/>
      <c r="H19" s="297"/>
      <c r="I19" s="298"/>
      <c r="J19" s="115">
        <v>11479.000000000002</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4702</v>
      </c>
      <c r="K20" s="294"/>
      <c r="L20" s="297"/>
      <c r="M20" s="297"/>
      <c r="N20" s="297"/>
      <c r="O20" s="298"/>
      <c r="P20" s="115">
        <v>141494</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10814</v>
      </c>
      <c r="E22" s="121">
        <f>'Pt 2 Premium and Claims'!E$55</f>
        <v>10814</v>
      </c>
      <c r="F22" s="121">
        <f>'Pt 2 Premium and Claims'!F$55</f>
        <v>0</v>
      </c>
      <c r="G22" s="121">
        <f>'Pt 2 Premium and Claims'!G$55</f>
        <v>0</v>
      </c>
      <c r="H22" s="121">
        <f>'Pt 2 Premium and Claims'!H$55</f>
        <v>0</v>
      </c>
      <c r="I22" s="120">
        <f>'Pt 2 Premium and Claims'!I$55</f>
        <v>0</v>
      </c>
      <c r="J22" s="120">
        <f>'Pt 2 Premium and Claims'!J$55</f>
        <v>25478</v>
      </c>
      <c r="K22" s="121">
        <f>'Pt 2 Premium and Claims'!K$55</f>
        <v>25445.15</v>
      </c>
      <c r="L22" s="121">
        <f>'Pt 2 Premium and Claims'!L$55</f>
        <v>0</v>
      </c>
      <c r="M22" s="121">
        <f>'Pt 2 Premium and Claims'!M$55</f>
        <v>0</v>
      </c>
      <c r="N22" s="121">
        <f>'Pt 2 Premium and Claims'!N$55</f>
        <v>0</v>
      </c>
      <c r="O22" s="120">
        <f>'Pt 2 Premium and Claims'!O$55</f>
        <v>0</v>
      </c>
      <c r="P22" s="120">
        <f>'Pt 2 Premium and Claims'!P$55</f>
        <v>727</v>
      </c>
      <c r="Q22" s="121">
        <f>'Pt 2 Premium and Claims'!Q$55</f>
        <v>532.03</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-1053598.452</v>
      </c>
      <c r="E25" s="116">
        <v>-1053598.452</v>
      </c>
      <c r="F25" s="116"/>
      <c r="G25" s="116"/>
      <c r="H25" s="116"/>
      <c r="I25" s="115"/>
      <c r="J25" s="115">
        <v>-276887.65860000002</v>
      </c>
      <c r="K25" s="116">
        <v>-267552.15463838843</v>
      </c>
      <c r="L25" s="116"/>
      <c r="M25" s="116"/>
      <c r="N25" s="116"/>
      <c r="O25" s="115"/>
      <c r="P25" s="115">
        <v>-260579.75719999999</v>
      </c>
      <c r="Q25" s="116">
        <v>-213394.44841791107</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9080.8759530000007</v>
      </c>
      <c r="AT25" s="119">
        <v>361395.1776</v>
      </c>
      <c r="AU25" s="119"/>
      <c r="AV25" s="119"/>
      <c r="AW25" s="324"/>
    </row>
    <row r="26" spans="1:49" s="11" customFormat="1" x14ac:dyDescent="0.2">
      <c r="A26" s="41"/>
      <c r="B26" s="164" t="s">
        <v>243</v>
      </c>
      <c r="C26" s="68"/>
      <c r="D26" s="115"/>
      <c r="E26" s="116">
        <v>5332.2099999999991</v>
      </c>
      <c r="F26" s="116"/>
      <c r="G26" s="116"/>
      <c r="H26" s="116"/>
      <c r="I26" s="115"/>
      <c r="J26" s="115"/>
      <c r="K26" s="116">
        <v>9364.5785295092701</v>
      </c>
      <c r="L26" s="116"/>
      <c r="M26" s="116"/>
      <c r="N26" s="116"/>
      <c r="O26" s="115"/>
      <c r="P26" s="115"/>
      <c r="Q26" s="116">
        <v>1230.5692477793991</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111230.53</v>
      </c>
      <c r="E27" s="116">
        <v>111230.53</v>
      </c>
      <c r="F27" s="116"/>
      <c r="G27" s="116"/>
      <c r="H27" s="116"/>
      <c r="I27" s="115"/>
      <c r="J27" s="115">
        <v>256937.29</v>
      </c>
      <c r="K27" s="116">
        <v>248274.42975982625</v>
      </c>
      <c r="L27" s="116"/>
      <c r="M27" s="116"/>
      <c r="N27" s="116"/>
      <c r="O27" s="115"/>
      <c r="P27" s="115">
        <v>26311.670000000002</v>
      </c>
      <c r="Q27" s="116">
        <v>21547.200622704775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1159554.3799999999</v>
      </c>
      <c r="AT27" s="119">
        <v>37382.270000000004</v>
      </c>
      <c r="AU27" s="119"/>
      <c r="AV27" s="320"/>
      <c r="AW27" s="324"/>
    </row>
    <row r="28" spans="1:49" s="11" customFormat="1" x14ac:dyDescent="0.2">
      <c r="A28" s="41"/>
      <c r="B28" s="164" t="s">
        <v>245</v>
      </c>
      <c r="C28" s="68"/>
      <c r="D28" s="115">
        <v>137157.78</v>
      </c>
      <c r="E28" s="116">
        <v>35693.389999999992</v>
      </c>
      <c r="F28" s="116"/>
      <c r="G28" s="116"/>
      <c r="H28" s="116"/>
      <c r="I28" s="115"/>
      <c r="J28" s="115">
        <v>303228.76000000007</v>
      </c>
      <c r="K28" s="116">
        <v>33847.513185318363</v>
      </c>
      <c r="L28" s="116"/>
      <c r="M28" s="116"/>
      <c r="N28" s="116"/>
      <c r="O28" s="115"/>
      <c r="P28" s="115">
        <v>53463.290000000008</v>
      </c>
      <c r="Q28" s="116">
        <v>4467.6853009029619</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10824.98</v>
      </c>
      <c r="AT28" s="119">
        <v>1833.9899999999998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-69499.854340000005</v>
      </c>
      <c r="E30" s="116">
        <v>-65841.414340000003</v>
      </c>
      <c r="F30" s="116"/>
      <c r="G30" s="116"/>
      <c r="H30" s="116"/>
      <c r="I30" s="115"/>
      <c r="J30" s="115">
        <v>-14652.527479999997</v>
      </c>
      <c r="K30" s="116">
        <v>-11752.718758499486</v>
      </c>
      <c r="L30" s="116"/>
      <c r="M30" s="116"/>
      <c r="N30" s="116"/>
      <c r="O30" s="115"/>
      <c r="P30" s="115">
        <v>-17250.633239999992</v>
      </c>
      <c r="Q30" s="116">
        <v>-15288.557906938031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26837.765554899976</v>
      </c>
      <c r="AT30" s="119">
        <v>27443.489210000003</v>
      </c>
      <c r="AU30" s="119"/>
      <c r="AV30" s="119"/>
      <c r="AW30" s="324"/>
    </row>
    <row r="31" spans="1:49" x14ac:dyDescent="0.2">
      <c r="B31" s="164" t="s">
        <v>248</v>
      </c>
      <c r="C31" s="68"/>
      <c r="D31" s="115">
        <v>261898.02999999997</v>
      </c>
      <c r="E31" s="116">
        <v>256299.82999999996</v>
      </c>
      <c r="F31" s="116"/>
      <c r="G31" s="116"/>
      <c r="H31" s="116"/>
      <c r="I31" s="115"/>
      <c r="J31" s="115">
        <v>709419.47039999999</v>
      </c>
      <c r="K31" s="116">
        <v>685500.78688102425</v>
      </c>
      <c r="L31" s="116"/>
      <c r="M31" s="116"/>
      <c r="N31" s="116"/>
      <c r="O31" s="115"/>
      <c r="P31" s="115">
        <v>104301.21680000001</v>
      </c>
      <c r="Q31" s="116">
        <v>85414.542048521645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295023.58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163766.04</v>
      </c>
      <c r="F34" s="116"/>
      <c r="G34" s="116"/>
      <c r="H34" s="116"/>
      <c r="I34" s="115"/>
      <c r="J34" s="115"/>
      <c r="K34" s="116">
        <v>281288.11703015829</v>
      </c>
      <c r="L34" s="116"/>
      <c r="M34" s="116"/>
      <c r="N34" s="116"/>
      <c r="O34" s="115"/>
      <c r="P34" s="115"/>
      <c r="Q34" s="116">
        <v>42409.209360553243</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9851.61</v>
      </c>
      <c r="E35" s="116">
        <v>10424.730000000001</v>
      </c>
      <c r="F35" s="116"/>
      <c r="G35" s="116"/>
      <c r="H35" s="116"/>
      <c r="I35" s="115"/>
      <c r="J35" s="115">
        <v>9996.9699999999993</v>
      </c>
      <c r="K35" s="116">
        <v>10962.696552359052</v>
      </c>
      <c r="L35" s="116"/>
      <c r="M35" s="116"/>
      <c r="N35" s="116"/>
      <c r="O35" s="115"/>
      <c r="P35" s="115">
        <v>1527.2699999999998</v>
      </c>
      <c r="Q35" s="116">
        <v>1255.2351729280444</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99412.34</v>
      </c>
      <c r="AT35" s="119">
        <v>6002.57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21661</v>
      </c>
      <c r="E37" s="124">
        <v>21660.94</v>
      </c>
      <c r="F37" s="124"/>
      <c r="G37" s="124"/>
      <c r="H37" s="124"/>
      <c r="I37" s="123"/>
      <c r="J37" s="123">
        <v>67634</v>
      </c>
      <c r="K37" s="124">
        <v>65861.45</v>
      </c>
      <c r="L37" s="124"/>
      <c r="M37" s="124"/>
      <c r="N37" s="124"/>
      <c r="O37" s="123"/>
      <c r="P37" s="123">
        <v>9658</v>
      </c>
      <c r="Q37" s="124">
        <v>8044.1899999999987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578521</v>
      </c>
      <c r="AT37" s="125">
        <v>383</v>
      </c>
      <c r="AU37" s="125"/>
      <c r="AV37" s="125"/>
      <c r="AW37" s="323"/>
    </row>
    <row r="38" spans="1:49" x14ac:dyDescent="0.2">
      <c r="B38" s="161" t="s">
        <v>255</v>
      </c>
      <c r="C38" s="68" t="s">
        <v>16</v>
      </c>
      <c r="D38" s="115">
        <v>5110</v>
      </c>
      <c r="E38" s="116">
        <v>5110.49</v>
      </c>
      <c r="F38" s="116"/>
      <c r="G38" s="116"/>
      <c r="H38" s="116"/>
      <c r="I38" s="115"/>
      <c r="J38" s="115">
        <v>30393</v>
      </c>
      <c r="K38" s="116">
        <v>29115.070000000003</v>
      </c>
      <c r="L38" s="116"/>
      <c r="M38" s="116"/>
      <c r="N38" s="116"/>
      <c r="O38" s="115"/>
      <c r="P38" s="115">
        <v>4666</v>
      </c>
      <c r="Q38" s="116">
        <v>3506.2599999999998</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61310</v>
      </c>
      <c r="AT38" s="119">
        <v>2</v>
      </c>
      <c r="AU38" s="119"/>
      <c r="AV38" s="119"/>
      <c r="AW38" s="324"/>
    </row>
    <row r="39" spans="1:49" x14ac:dyDescent="0.2">
      <c r="B39" s="164" t="s">
        <v>256</v>
      </c>
      <c r="C39" s="68" t="s">
        <v>17</v>
      </c>
      <c r="D39" s="115">
        <v>11738</v>
      </c>
      <c r="E39" s="116">
        <v>11738.410000000003</v>
      </c>
      <c r="F39" s="116"/>
      <c r="G39" s="116"/>
      <c r="H39" s="116"/>
      <c r="I39" s="115"/>
      <c r="J39" s="115">
        <v>28107</v>
      </c>
      <c r="K39" s="116">
        <v>27829.25</v>
      </c>
      <c r="L39" s="116"/>
      <c r="M39" s="116"/>
      <c r="N39" s="116"/>
      <c r="O39" s="115"/>
      <c r="P39" s="115">
        <v>3853</v>
      </c>
      <c r="Q39" s="116">
        <v>3595.17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200369</v>
      </c>
      <c r="AT39" s="119">
        <v>2273</v>
      </c>
      <c r="AU39" s="119"/>
      <c r="AV39" s="119"/>
      <c r="AW39" s="324"/>
    </row>
    <row r="40" spans="1:49" x14ac:dyDescent="0.2">
      <c r="B40" s="164" t="s">
        <v>257</v>
      </c>
      <c r="C40" s="68" t="s">
        <v>38</v>
      </c>
      <c r="D40" s="115">
        <v>2463</v>
      </c>
      <c r="E40" s="116">
        <v>2462.9500000000003</v>
      </c>
      <c r="F40" s="116"/>
      <c r="G40" s="116"/>
      <c r="H40" s="116"/>
      <c r="I40" s="115"/>
      <c r="J40" s="115">
        <v>129055</v>
      </c>
      <c r="K40" s="116">
        <v>128251.39000000001</v>
      </c>
      <c r="L40" s="116"/>
      <c r="M40" s="116"/>
      <c r="N40" s="116"/>
      <c r="O40" s="115"/>
      <c r="P40" s="115">
        <v>14629</v>
      </c>
      <c r="Q40" s="116">
        <v>13887.999999999996</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296132</v>
      </c>
      <c r="AT40" s="119">
        <v>33151</v>
      </c>
      <c r="AU40" s="119"/>
      <c r="AV40" s="119"/>
      <c r="AW40" s="324"/>
    </row>
    <row r="41" spans="1:49" s="11" customFormat="1" ht="25.5" x14ac:dyDescent="0.2">
      <c r="A41" s="41"/>
      <c r="B41" s="164" t="s">
        <v>258</v>
      </c>
      <c r="C41" s="68" t="s">
        <v>129</v>
      </c>
      <c r="D41" s="115">
        <v>12018</v>
      </c>
      <c r="E41" s="116">
        <v>12018.14</v>
      </c>
      <c r="F41" s="116"/>
      <c r="G41" s="116"/>
      <c r="H41" s="116"/>
      <c r="I41" s="115"/>
      <c r="J41" s="115">
        <v>19626</v>
      </c>
      <c r="K41" s="116">
        <v>18845.980000000003</v>
      </c>
      <c r="L41" s="116"/>
      <c r="M41" s="116"/>
      <c r="N41" s="116"/>
      <c r="O41" s="115"/>
      <c r="P41" s="115">
        <v>3150</v>
      </c>
      <c r="Q41" s="116">
        <v>2406.2800000000007</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397211</v>
      </c>
      <c r="AT41" s="119">
        <v>9872</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88234</v>
      </c>
      <c r="E44" s="124">
        <v>88234</v>
      </c>
      <c r="F44" s="124"/>
      <c r="G44" s="124"/>
      <c r="H44" s="124"/>
      <c r="I44" s="123"/>
      <c r="J44" s="123">
        <v>176761</v>
      </c>
      <c r="K44" s="124">
        <v>169358.30964551927</v>
      </c>
      <c r="L44" s="124"/>
      <c r="M44" s="124"/>
      <c r="N44" s="124"/>
      <c r="O44" s="123"/>
      <c r="P44" s="123">
        <v>27563</v>
      </c>
      <c r="Q44" s="124">
        <v>21663.641347053323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1474040</v>
      </c>
      <c r="AT44" s="125">
        <v>19768</v>
      </c>
      <c r="AU44" s="125"/>
      <c r="AV44" s="125"/>
      <c r="AW44" s="323"/>
    </row>
    <row r="45" spans="1:49" x14ac:dyDescent="0.2">
      <c r="B45" s="167" t="s">
        <v>262</v>
      </c>
      <c r="C45" s="68" t="s">
        <v>19</v>
      </c>
      <c r="D45" s="115">
        <v>104685</v>
      </c>
      <c r="E45" s="116">
        <v>104685</v>
      </c>
      <c r="F45" s="116"/>
      <c r="G45" s="116"/>
      <c r="H45" s="116"/>
      <c r="I45" s="115"/>
      <c r="J45" s="115">
        <v>137967</v>
      </c>
      <c r="K45" s="116">
        <v>132188.98912578769</v>
      </c>
      <c r="L45" s="116"/>
      <c r="M45" s="116"/>
      <c r="N45" s="116"/>
      <c r="O45" s="115"/>
      <c r="P45" s="115">
        <v>19610</v>
      </c>
      <c r="Q45" s="116">
        <v>15412.836295603367</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1171912</v>
      </c>
      <c r="AT45" s="119">
        <v>87934</v>
      </c>
      <c r="AU45" s="119"/>
      <c r="AV45" s="119"/>
      <c r="AW45" s="324"/>
    </row>
    <row r="46" spans="1:49" x14ac:dyDescent="0.2">
      <c r="B46" s="167" t="s">
        <v>263</v>
      </c>
      <c r="C46" s="68" t="s">
        <v>20</v>
      </c>
      <c r="D46" s="115">
        <v>278204</v>
      </c>
      <c r="E46" s="116">
        <v>278204</v>
      </c>
      <c r="F46" s="116"/>
      <c r="G46" s="116"/>
      <c r="H46" s="116"/>
      <c r="I46" s="115"/>
      <c r="J46" s="115">
        <v>79097</v>
      </c>
      <c r="K46" s="116">
        <v>75784.444634459171</v>
      </c>
      <c r="L46" s="116"/>
      <c r="M46" s="116"/>
      <c r="N46" s="116"/>
      <c r="O46" s="115"/>
      <c r="P46" s="115">
        <v>13103</v>
      </c>
      <c r="Q46" s="116">
        <v>10298.541253507952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3416395</v>
      </c>
      <c r="AT46" s="119">
        <v>52412</v>
      </c>
      <c r="AU46" s="119"/>
      <c r="AV46" s="119"/>
      <c r="AW46" s="324"/>
    </row>
    <row r="47" spans="1:49" x14ac:dyDescent="0.2">
      <c r="B47" s="167" t="s">
        <v>264</v>
      </c>
      <c r="C47" s="68" t="s">
        <v>21</v>
      </c>
      <c r="D47" s="115">
        <v>534986</v>
      </c>
      <c r="E47" s="116">
        <v>534986</v>
      </c>
      <c r="F47" s="116"/>
      <c r="G47" s="116"/>
      <c r="H47" s="116"/>
      <c r="I47" s="115"/>
      <c r="J47" s="115">
        <v>1361258</v>
      </c>
      <c r="K47" s="116">
        <v>1304248.9795341748</v>
      </c>
      <c r="L47" s="116"/>
      <c r="M47" s="116"/>
      <c r="N47" s="116"/>
      <c r="O47" s="115"/>
      <c r="P47" s="115">
        <v>166342</v>
      </c>
      <c r="Q47" s="116">
        <v>130739.52142188961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1301693</v>
      </c>
      <c r="AT47" s="119">
        <v>681654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112791.69433999999</v>
      </c>
      <c r="E49" s="116">
        <v>74515.414339999988</v>
      </c>
      <c r="F49" s="116"/>
      <c r="G49" s="116"/>
      <c r="H49" s="116"/>
      <c r="I49" s="115"/>
      <c r="J49" s="115">
        <v>57595.287079999995</v>
      </c>
      <c r="K49" s="116">
        <v>20277.004966617464</v>
      </c>
      <c r="L49" s="116"/>
      <c r="M49" s="116"/>
      <c r="N49" s="116"/>
      <c r="O49" s="115"/>
      <c r="P49" s="115">
        <v>22129.39644</v>
      </c>
      <c r="Q49" s="116">
        <v>14352.394834656689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360771.40444509994</v>
      </c>
      <c r="AT49" s="119">
        <v>49910.460789999983</v>
      </c>
      <c r="AU49" s="119"/>
      <c r="AV49" s="119"/>
      <c r="AW49" s="324"/>
    </row>
    <row r="50" spans="2:49" ht="25.5" x14ac:dyDescent="0.2">
      <c r="B50" s="161" t="s">
        <v>266</v>
      </c>
      <c r="C50" s="68"/>
      <c r="D50" s="115">
        <v>493.15999999999985</v>
      </c>
      <c r="E50" s="116">
        <v>493.15999999999985</v>
      </c>
      <c r="F50" s="116"/>
      <c r="G50" s="116"/>
      <c r="H50" s="116"/>
      <c r="I50" s="115"/>
      <c r="J50" s="115">
        <v>568.48</v>
      </c>
      <c r="K50" s="116">
        <v>544.6722516125435</v>
      </c>
      <c r="L50" s="116"/>
      <c r="M50" s="116"/>
      <c r="N50" s="116"/>
      <c r="O50" s="115"/>
      <c r="P50" s="115">
        <v>89.580000000000027</v>
      </c>
      <c r="Q50" s="116">
        <v>70.407030869971962</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5305.73</v>
      </c>
      <c r="AT50" s="119">
        <v>289.63000000000005</v>
      </c>
      <c r="AU50" s="119"/>
      <c r="AV50" s="119"/>
      <c r="AW50" s="324"/>
    </row>
    <row r="51" spans="2:49" x14ac:dyDescent="0.2">
      <c r="B51" s="161" t="s">
        <v>267</v>
      </c>
      <c r="C51" s="68"/>
      <c r="D51" s="115">
        <v>879024</v>
      </c>
      <c r="E51" s="116">
        <v>879024</v>
      </c>
      <c r="F51" s="116"/>
      <c r="G51" s="116"/>
      <c r="H51" s="116"/>
      <c r="I51" s="115"/>
      <c r="J51" s="115">
        <v>1062995</v>
      </c>
      <c r="K51" s="116">
        <v>1018477.1321820919</v>
      </c>
      <c r="L51" s="116"/>
      <c r="M51" s="116"/>
      <c r="N51" s="116"/>
      <c r="O51" s="115"/>
      <c r="P51" s="115">
        <v>164259</v>
      </c>
      <c r="Q51" s="116">
        <v>129102.3496725912</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8522226</v>
      </c>
      <c r="AT51" s="119">
        <v>601167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1632</v>
      </c>
      <c r="E56" s="128">
        <v>1568</v>
      </c>
      <c r="F56" s="128"/>
      <c r="G56" s="128"/>
      <c r="H56" s="128"/>
      <c r="I56" s="127"/>
      <c r="J56" s="127">
        <v>1883</v>
      </c>
      <c r="K56" s="128">
        <v>2078</v>
      </c>
      <c r="L56" s="128"/>
      <c r="M56" s="128"/>
      <c r="N56" s="128"/>
      <c r="O56" s="127"/>
      <c r="P56" s="127">
        <v>610</v>
      </c>
      <c r="Q56" s="128">
        <v>401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46446</v>
      </c>
      <c r="AT56" s="129">
        <v>23303</v>
      </c>
      <c r="AU56" s="129"/>
      <c r="AV56" s="129"/>
      <c r="AW56" s="315"/>
    </row>
    <row r="57" spans="2:49" x14ac:dyDescent="0.2">
      <c r="B57" s="167" t="s">
        <v>273</v>
      </c>
      <c r="C57" s="68" t="s">
        <v>25</v>
      </c>
      <c r="D57" s="130">
        <v>2501</v>
      </c>
      <c r="E57" s="131">
        <v>2454</v>
      </c>
      <c r="F57" s="131"/>
      <c r="G57" s="131"/>
      <c r="H57" s="131"/>
      <c r="I57" s="130"/>
      <c r="J57" s="130">
        <v>4084</v>
      </c>
      <c r="K57" s="131">
        <v>3497</v>
      </c>
      <c r="L57" s="131"/>
      <c r="M57" s="131"/>
      <c r="N57" s="131"/>
      <c r="O57" s="130"/>
      <c r="P57" s="130">
        <v>1099</v>
      </c>
      <c r="Q57" s="131">
        <v>655</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49756</v>
      </c>
      <c r="AT57" s="132">
        <v>39870</v>
      </c>
      <c r="AU57" s="132"/>
      <c r="AV57" s="132"/>
      <c r="AW57" s="316"/>
    </row>
    <row r="58" spans="2:49" x14ac:dyDescent="0.2">
      <c r="B58" s="167" t="s">
        <v>274</v>
      </c>
      <c r="C58" s="68" t="s">
        <v>26</v>
      </c>
      <c r="D58" s="336"/>
      <c r="E58" s="337"/>
      <c r="F58" s="337"/>
      <c r="G58" s="337"/>
      <c r="H58" s="337"/>
      <c r="I58" s="336"/>
      <c r="J58" s="130">
        <v>284</v>
      </c>
      <c r="K58" s="131">
        <v>284</v>
      </c>
      <c r="L58" s="131"/>
      <c r="M58" s="131"/>
      <c r="N58" s="131"/>
      <c r="O58" s="130"/>
      <c r="P58" s="130">
        <v>12</v>
      </c>
      <c r="Q58" s="131">
        <v>12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976</v>
      </c>
      <c r="AU58" s="132"/>
      <c r="AV58" s="132"/>
      <c r="AW58" s="316"/>
    </row>
    <row r="59" spans="2:49" x14ac:dyDescent="0.2">
      <c r="B59" s="167" t="s">
        <v>275</v>
      </c>
      <c r="C59" s="68" t="s">
        <v>27</v>
      </c>
      <c r="D59" s="130">
        <v>30770</v>
      </c>
      <c r="E59" s="131">
        <v>30780</v>
      </c>
      <c r="F59" s="131"/>
      <c r="G59" s="131"/>
      <c r="H59" s="131"/>
      <c r="I59" s="130"/>
      <c r="J59" s="130">
        <v>59884</v>
      </c>
      <c r="K59" s="131">
        <v>51544</v>
      </c>
      <c r="L59" s="131"/>
      <c r="M59" s="131"/>
      <c r="N59" s="131"/>
      <c r="O59" s="130"/>
      <c r="P59" s="130">
        <v>13236</v>
      </c>
      <c r="Q59" s="131">
        <v>8402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574504</v>
      </c>
      <c r="AT59" s="132">
        <v>179228</v>
      </c>
      <c r="AU59" s="132"/>
      <c r="AV59" s="132"/>
      <c r="AW59" s="316"/>
    </row>
    <row r="60" spans="2:49" x14ac:dyDescent="0.2">
      <c r="B60" s="167" t="s">
        <v>276</v>
      </c>
      <c r="C60" s="68"/>
      <c r="D60" s="133">
        <f>D$59/12</f>
        <v>2564.1666666666665</v>
      </c>
      <c r="E60" s="134">
        <f>E$59/12</f>
        <v>2565</v>
      </c>
      <c r="F60" s="134">
        <f>F$59/12</f>
        <v>0</v>
      </c>
      <c r="G60" s="134">
        <f>G$59/12</f>
        <v>0</v>
      </c>
      <c r="H60" s="134">
        <f>H$59/12</f>
        <v>0</v>
      </c>
      <c r="I60" s="133">
        <f>I$59/12</f>
        <v>0</v>
      </c>
      <c r="J60" s="133">
        <f>J$59/12</f>
        <v>4990.333333333333</v>
      </c>
      <c r="K60" s="134">
        <f>K$59/12</f>
        <v>4295.333333333333</v>
      </c>
      <c r="L60" s="134">
        <f>L$59/12</f>
        <v>0</v>
      </c>
      <c r="M60" s="134">
        <f>M$59/12</f>
        <v>0</v>
      </c>
      <c r="N60" s="134">
        <f>N$59/12</f>
        <v>0</v>
      </c>
      <c r="O60" s="133">
        <f>O$59/12</f>
        <v>0</v>
      </c>
      <c r="P60" s="133">
        <f>P$59/12</f>
        <v>1103</v>
      </c>
      <c r="Q60" s="134">
        <f>Q$59/12</f>
        <v>700.16666666666663</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47875.333333333336</v>
      </c>
      <c r="AT60" s="135">
        <f>AT$59/12</f>
        <v>14935.666666666666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8933702</v>
      </c>
      <c r="E5" s="124">
        <v>7371670.169999999</v>
      </c>
      <c r="F5" s="124"/>
      <c r="G5" s="136"/>
      <c r="H5" s="136"/>
      <c r="I5" s="123"/>
      <c r="J5" s="123">
        <v>20249966</v>
      </c>
      <c r="K5" s="124">
        <v>19086610.914064705</v>
      </c>
      <c r="L5" s="124"/>
      <c r="M5" s="124"/>
      <c r="N5" s="124"/>
      <c r="O5" s="123"/>
      <c r="P5" s="123">
        <v>2735036</v>
      </c>
      <c r="Q5" s="124">
        <v>2833930.0092889005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91884058</v>
      </c>
      <c r="AT5" s="125">
        <v>8607096</v>
      </c>
      <c r="AU5" s="125"/>
      <c r="AV5" s="318"/>
      <c r="AW5" s="323"/>
    </row>
    <row r="6" spans="2:49" x14ac:dyDescent="0.2">
      <c r="B6" s="182" t="s">
        <v>279</v>
      </c>
      <c r="C6" s="139" t="s">
        <v>8</v>
      </c>
      <c r="D6" s="115">
        <v>12151</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15426</v>
      </c>
      <c r="AU6" s="119"/>
      <c r="AV6" s="317"/>
      <c r="AW6" s="324"/>
    </row>
    <row r="7" spans="2:49" x14ac:dyDescent="0.2">
      <c r="B7" s="182" t="s">
        <v>280</v>
      </c>
      <c r="C7" s="139" t="s">
        <v>9</v>
      </c>
      <c r="D7" s="115">
        <v>11586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77621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-56649.039999999935</v>
      </c>
      <c r="K9" s="294"/>
      <c r="L9" s="294"/>
      <c r="M9" s="294"/>
      <c r="N9" s="294"/>
      <c r="O9" s="298"/>
      <c r="P9" s="115">
        <v>56649.179999999935</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3.9999999999054126E-2</v>
      </c>
      <c r="K11" s="116"/>
      <c r="L11" s="116"/>
      <c r="M11" s="116"/>
      <c r="N11" s="116"/>
      <c r="O11" s="115"/>
      <c r="P11" s="115">
        <v>6.0000000026775524E-2</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-2875290</v>
      </c>
      <c r="AT11" s="119"/>
      <c r="AU11" s="119"/>
      <c r="AV11" s="317"/>
      <c r="AW11" s="324"/>
    </row>
    <row r="12" spans="2:49" x14ac:dyDescent="0.2">
      <c r="B12" s="182" t="s">
        <v>283</v>
      </c>
      <c r="C12" s="139" t="s">
        <v>44</v>
      </c>
      <c r="D12" s="115"/>
      <c r="E12" s="295"/>
      <c r="F12" s="295"/>
      <c r="G12" s="295"/>
      <c r="H12" s="295"/>
      <c r="I12" s="299"/>
      <c r="J12" s="115">
        <v>-0.43999999993866368</v>
      </c>
      <c r="K12" s="295"/>
      <c r="L12" s="295"/>
      <c r="M12" s="295"/>
      <c r="N12" s="295"/>
      <c r="O12" s="299"/>
      <c r="P12" s="115">
        <v>0.39999999999417923</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-1322766</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2142999.48</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1873080.72</v>
      </c>
      <c r="F16" s="116"/>
      <c r="G16" s="116"/>
      <c r="H16" s="116"/>
      <c r="I16" s="115"/>
      <c r="J16" s="115"/>
      <c r="K16" s="116">
        <v>-358637.74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12539</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-87130</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10796477</v>
      </c>
      <c r="E23" s="294"/>
      <c r="F23" s="294"/>
      <c r="G23" s="294"/>
      <c r="H23" s="294"/>
      <c r="I23" s="298"/>
      <c r="J23" s="115">
        <v>17070231</v>
      </c>
      <c r="K23" s="294"/>
      <c r="L23" s="294"/>
      <c r="M23" s="294"/>
      <c r="N23" s="294"/>
      <c r="O23" s="298"/>
      <c r="P23" s="115">
        <v>2687586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76742056</v>
      </c>
      <c r="AT23" s="119">
        <v>4883678</v>
      </c>
      <c r="AU23" s="119"/>
      <c r="AV23" s="317"/>
      <c r="AW23" s="324"/>
    </row>
    <row r="24" spans="2:49" ht="28.5" customHeight="1" x14ac:dyDescent="0.2">
      <c r="B24" s="184" t="s">
        <v>114</v>
      </c>
      <c r="C24" s="139"/>
      <c r="D24" s="299"/>
      <c r="E24" s="116">
        <v>12605200.622</v>
      </c>
      <c r="F24" s="116"/>
      <c r="G24" s="116"/>
      <c r="H24" s="116"/>
      <c r="I24" s="115"/>
      <c r="J24" s="299"/>
      <c r="K24" s="116">
        <v>15537811.1</v>
      </c>
      <c r="L24" s="116"/>
      <c r="M24" s="116"/>
      <c r="N24" s="116"/>
      <c r="O24" s="115"/>
      <c r="P24" s="299"/>
      <c r="Q24" s="116">
        <v>3291516.22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2732669</v>
      </c>
      <c r="E26" s="294"/>
      <c r="F26" s="294"/>
      <c r="G26" s="294"/>
      <c r="H26" s="294"/>
      <c r="I26" s="298"/>
      <c r="J26" s="115">
        <v>1647412</v>
      </c>
      <c r="K26" s="294"/>
      <c r="L26" s="294"/>
      <c r="M26" s="294"/>
      <c r="N26" s="294"/>
      <c r="O26" s="298"/>
      <c r="P26" s="115">
        <v>359718</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6084219</v>
      </c>
      <c r="AT26" s="119">
        <v>1103279</v>
      </c>
      <c r="AU26" s="119"/>
      <c r="AV26" s="317"/>
      <c r="AW26" s="324"/>
    </row>
    <row r="27" spans="2:49" s="11" customFormat="1" ht="25.5" x14ac:dyDescent="0.2">
      <c r="B27" s="184" t="s">
        <v>85</v>
      </c>
      <c r="C27" s="139"/>
      <c r="D27" s="299"/>
      <c r="E27" s="116">
        <v>180686.97279999999</v>
      </c>
      <c r="F27" s="116"/>
      <c r="G27" s="116"/>
      <c r="H27" s="116"/>
      <c r="I27" s="115"/>
      <c r="J27" s="299"/>
      <c r="K27" s="116">
        <v>225471.70413008871</v>
      </c>
      <c r="L27" s="116"/>
      <c r="M27" s="116"/>
      <c r="N27" s="116"/>
      <c r="O27" s="115"/>
      <c r="P27" s="299"/>
      <c r="Q27" s="116">
        <v>52459.10796991158</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825134</v>
      </c>
      <c r="E28" s="295"/>
      <c r="F28" s="295"/>
      <c r="G28" s="295"/>
      <c r="H28" s="295"/>
      <c r="I28" s="299"/>
      <c r="J28" s="115">
        <v>1802953</v>
      </c>
      <c r="K28" s="295"/>
      <c r="L28" s="295"/>
      <c r="M28" s="295"/>
      <c r="N28" s="295"/>
      <c r="O28" s="299"/>
      <c r="P28" s="115">
        <v>229760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6156354</v>
      </c>
      <c r="AT28" s="119">
        <v>554414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7579</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7488.8599999999988</v>
      </c>
      <c r="L31" s="116"/>
      <c r="M31" s="116"/>
      <c r="N31" s="116"/>
      <c r="O31" s="115"/>
      <c r="P31" s="299"/>
      <c r="Q31" s="116">
        <v>-1718.3899999999999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1809</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1078143</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1078143</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1055590</v>
      </c>
      <c r="E36" s="116">
        <v>1055590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-161662</v>
      </c>
      <c r="E38" s="294"/>
      <c r="F38" s="294"/>
      <c r="G38" s="294"/>
      <c r="H38" s="294"/>
      <c r="I38" s="298"/>
      <c r="J38" s="115">
        <v>56648</v>
      </c>
      <c r="K38" s="294"/>
      <c r="L38" s="294"/>
      <c r="M38" s="294"/>
      <c r="N38" s="294"/>
      <c r="O38" s="298"/>
      <c r="P38" s="115">
        <v>260762.99999999997</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10195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4702</v>
      </c>
      <c r="K41" s="294"/>
      <c r="L41" s="294"/>
      <c r="M41" s="294"/>
      <c r="N41" s="294"/>
      <c r="O41" s="298"/>
      <c r="P41" s="115">
        <v>141494</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-2875290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11479.000000000002</v>
      </c>
      <c r="K43" s="295"/>
      <c r="L43" s="295"/>
      <c r="M43" s="295"/>
      <c r="N43" s="295"/>
      <c r="O43" s="299"/>
      <c r="P43" s="115">
        <v>161662</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-1322766</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26356</v>
      </c>
      <c r="E49" s="116">
        <v>83573.949999999983</v>
      </c>
      <c r="F49" s="116"/>
      <c r="G49" s="116"/>
      <c r="H49" s="116"/>
      <c r="I49" s="115"/>
      <c r="J49" s="115">
        <v>46240</v>
      </c>
      <c r="K49" s="116">
        <v>181809.71936813398</v>
      </c>
      <c r="L49" s="116"/>
      <c r="M49" s="116"/>
      <c r="N49" s="116"/>
      <c r="O49" s="115"/>
      <c r="P49" s="115">
        <v>8620</v>
      </c>
      <c r="Q49" s="116">
        <v>50167.180631865602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3424928</v>
      </c>
      <c r="AT49" s="119">
        <v>159</v>
      </c>
      <c r="AU49" s="119"/>
      <c r="AV49" s="317"/>
      <c r="AW49" s="324"/>
    </row>
    <row r="50" spans="2:49" x14ac:dyDescent="0.2">
      <c r="B50" s="182" t="s">
        <v>119</v>
      </c>
      <c r="C50" s="139" t="s">
        <v>34</v>
      </c>
      <c r="D50" s="115">
        <v>27922</v>
      </c>
      <c r="E50" s="295"/>
      <c r="F50" s="295"/>
      <c r="G50" s="295"/>
      <c r="H50" s="295"/>
      <c r="I50" s="299"/>
      <c r="J50" s="115">
        <v>23892</v>
      </c>
      <c r="K50" s="295"/>
      <c r="L50" s="295"/>
      <c r="M50" s="295"/>
      <c r="N50" s="295"/>
      <c r="O50" s="299"/>
      <c r="P50" s="115">
        <v>7962</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2276261</v>
      </c>
      <c r="AT50" s="119">
        <v>157</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395</v>
      </c>
      <c r="L53" s="116"/>
      <c r="M53" s="116"/>
      <c r="N53" s="116"/>
      <c r="O53" s="115"/>
      <c r="P53" s="115"/>
      <c r="Q53" s="116">
        <v>821</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12564660</v>
      </c>
      <c r="E54" s="121">
        <f>E24+E27+E31+E35-E36+E39+E42+E45+E46-E49+E51+E52+E53</f>
        <v>12724866.6448</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16949792</v>
      </c>
      <c r="K54" s="121">
        <f>K24+K27+K31+K35-K36+K39+K42+K45+K46-K49+K51+K52+K53</f>
        <v>15589356.944761954</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3057481</v>
      </c>
      <c r="Q54" s="121">
        <f>Q24+Q27+Q31+Q35-Q36+Q39+Q42+Q45+Q46-Q49+Q51+Q52+Q53</f>
        <v>3292910.7573380461</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73978925</v>
      </c>
      <c r="AT54" s="122">
        <f>AT23+AT26-AT28+AT30-AT32+AT34-AT36+AT38+AT41-AT43+AT45+AT46-AT47-AT49+AT50+AT51+AT52+AT53</f>
        <v>5432541</v>
      </c>
      <c r="AU54" s="122">
        <f>AU23+AU26-AU28+AU30-AU32+AU34-AU36+AU38+AU41-AU43+AU45+AU46-AU47-AU49+AU50+AU51+AU52+AU53</f>
        <v>0</v>
      </c>
      <c r="AV54" s="317"/>
      <c r="AW54" s="324"/>
    </row>
    <row r="55" spans="2:49" ht="25.5" x14ac:dyDescent="0.2">
      <c r="B55" s="187" t="s">
        <v>304</v>
      </c>
      <c r="C55" s="143" t="s">
        <v>28</v>
      </c>
      <c r="D55" s="120">
        <f>MIN(MAX(0,D56),MAX(0,D57))</f>
        <v>10814</v>
      </c>
      <c r="E55" s="121">
        <f>MIN(MAX(0,E56),MAX(0,E57))</f>
        <v>10814</v>
      </c>
      <c r="F55" s="121">
        <f>MIN(MAX(0,F56),MAX(0,F57))</f>
        <v>0</v>
      </c>
      <c r="G55" s="121">
        <f>MIN(MAX(0,G56),MAX(0,G57))</f>
        <v>0</v>
      </c>
      <c r="H55" s="121">
        <f>MIN(MAX(0,H56),MAX(0,H57))</f>
        <v>0</v>
      </c>
      <c r="I55" s="120">
        <f>MIN(MAX(0,I56),MAX(0,I57))</f>
        <v>0</v>
      </c>
      <c r="J55" s="120">
        <f>MIN(MAX(0,J56),MAX(0,J57))</f>
        <v>25478</v>
      </c>
      <c r="K55" s="121">
        <f>MIN(MAX(0,K56),MAX(0,K57))</f>
        <v>25445.15</v>
      </c>
      <c r="L55" s="121">
        <f>MIN(MAX(0,L56),MAX(0,L57))</f>
        <v>0</v>
      </c>
      <c r="M55" s="121">
        <f>MIN(MAX(0,M56),MAX(0,M57))</f>
        <v>0</v>
      </c>
      <c r="N55" s="121">
        <f>MIN(MAX(0,N56),MAX(0,N57))</f>
        <v>0</v>
      </c>
      <c r="O55" s="120">
        <f>MIN(MAX(0,O56),MAX(0,O57))</f>
        <v>0</v>
      </c>
      <c r="P55" s="120">
        <f>MIN(MAX(0,P56),MAX(0,P57))</f>
        <v>727</v>
      </c>
      <c r="Q55" s="121">
        <f>MIN(MAX(0,Q56),MAX(0,Q57))</f>
        <v>532.03</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10814</v>
      </c>
      <c r="E56" s="116">
        <v>10814</v>
      </c>
      <c r="F56" s="116"/>
      <c r="G56" s="116"/>
      <c r="H56" s="116"/>
      <c r="I56" s="115"/>
      <c r="J56" s="115">
        <v>28649</v>
      </c>
      <c r="K56" s="116">
        <v>28624.720000000001</v>
      </c>
      <c r="L56" s="116"/>
      <c r="M56" s="116"/>
      <c r="N56" s="116"/>
      <c r="O56" s="115"/>
      <c r="P56" s="115">
        <v>4957</v>
      </c>
      <c r="Q56" s="116">
        <v>4932.88</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33201</v>
      </c>
      <c r="E57" s="116">
        <v>33201</v>
      </c>
      <c r="F57" s="116"/>
      <c r="G57" s="116"/>
      <c r="H57" s="116"/>
      <c r="I57" s="115"/>
      <c r="J57" s="115">
        <v>25478</v>
      </c>
      <c r="K57" s="116">
        <v>25445.15</v>
      </c>
      <c r="L57" s="116"/>
      <c r="M57" s="116"/>
      <c r="N57" s="116"/>
      <c r="O57" s="115"/>
      <c r="P57" s="115">
        <v>727</v>
      </c>
      <c r="Q57" s="116">
        <v>532.03</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746145</v>
      </c>
      <c r="AT57" s="119">
        <v>1143</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3379833.6099999994</v>
      </c>
      <c r="D5" s="124">
        <v>5405636.1650999989</v>
      </c>
      <c r="E5" s="352"/>
      <c r="F5" s="352"/>
      <c r="G5" s="318"/>
      <c r="H5" s="123">
        <v>15265485.74</v>
      </c>
      <c r="I5" s="124">
        <v>12028023.844185488</v>
      </c>
      <c r="J5" s="352"/>
      <c r="K5" s="352"/>
      <c r="L5" s="318"/>
      <c r="M5" s="123">
        <v>1178194.93</v>
      </c>
      <c r="N5" s="124">
        <v>1662216.9327145144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3404540.8699999992</v>
      </c>
      <c r="D6" s="116">
        <v>5309772.9335999992</v>
      </c>
      <c r="E6" s="121">
        <f>SUM('Pt 1 Summary of Data'!E$12,'Pt 1 Summary of Data'!E$22)+SUM('Pt 1 Summary of Data'!G$12,'Pt 1 Summary of Data'!G$22)-SUM('Pt 1 Summary of Data'!H$12,'Pt 1 Summary of Data'!H$22)</f>
        <v>12735680.6448</v>
      </c>
      <c r="F6" s="121">
        <f>SUM(C6:E6)</f>
        <v>21449994.448399998</v>
      </c>
      <c r="G6" s="122">
        <f>SUM('Pt 1 Summary of Data'!I$12,'Pt 1 Summary of Data'!I$22)</f>
        <v>0</v>
      </c>
      <c r="H6" s="115">
        <v>15253031.060000004</v>
      </c>
      <c r="I6" s="116">
        <v>11990151.145424176</v>
      </c>
      <c r="J6" s="121">
        <f>SUM('Pt 1 Summary of Data'!K$12,'Pt 1 Summary of Data'!K$22)+SUM('Pt 1 Summary of Data'!M$12,'Pt 1 Summary of Data'!M$22)-SUM('Pt 1 Summary of Data'!N$12,'Pt 1 Summary of Data'!N$22)</f>
        <v>15614802.094761955</v>
      </c>
      <c r="K6" s="121">
        <f>SUM(H6:J6)</f>
        <v>42857984.300186135</v>
      </c>
      <c r="L6" s="122">
        <f>SUM('Pt 1 Summary of Data'!O$12,'Pt 1 Summary of Data'!O$22)</f>
        <v>0</v>
      </c>
      <c r="M6" s="115">
        <v>1219044.0800000003</v>
      </c>
      <c r="N6" s="116">
        <v>1684082.0106758305</v>
      </c>
      <c r="O6" s="121">
        <f>SUM('Pt 1 Summary of Data'!Q$12,'Pt 1 Summary of Data'!Q$22)+SUM('Pt 1 Summary of Data'!S$12,'Pt 1 Summary of Data'!S$22)-SUM('Pt 1 Summary of Data'!T$12,'Pt 1 Summary of Data'!T$22)</f>
        <v>3293442.7873380459</v>
      </c>
      <c r="P6" s="121">
        <f>SUM(M6:O6)</f>
        <v>6196568.8780138772</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62744.489999999991</v>
      </c>
      <c r="D7" s="116">
        <v>74098.98000000001</v>
      </c>
      <c r="E7" s="121">
        <f>SUM('Pt 1 Summary of Data'!E$37:E$41)+SUM('Pt 1 Summary of Data'!G$37:G$41)-SUM('Pt 1 Summary of Data'!H$37:H$41)+MAX(0,MIN('Pt 1 Summary of Data'!E$42+'Pt 1 Summary of Data'!G$42-'Pt 1 Summary of Data'!H$42,0.3%*('Pt 1 Summary of Data'!E$5+'Pt 1 Summary of Data'!G$5-'Pt 1 Summary of Data'!H$5-SUM(E$9:E$11))))</f>
        <v>52990.93</v>
      </c>
      <c r="F7" s="121">
        <f>SUM(C7:E7)</f>
        <v>189834.4</v>
      </c>
      <c r="G7" s="122">
        <f>SUM('Pt 1 Summary of Data'!I$37:I$41)+MAX(0,MIN('Pt 1 Summary of Data'!I$42,0.3%*('Pt 1 Summary of Data'!I$5-SUM(G$9:G$10))))</f>
        <v>0</v>
      </c>
      <c r="H7" s="115">
        <v>389770.93999999994</v>
      </c>
      <c r="I7" s="116">
        <v>286869.7</v>
      </c>
      <c r="J7" s="121">
        <f>SUM('Pt 1 Summary of Data'!K$37:K$41)+SUM('Pt 1 Summary of Data'!M$37:M$41)-SUM('Pt 1 Summary of Data'!N$37:N$41)+MAX(0,MIN('Pt 1 Summary of Data'!K$42+'Pt 1 Summary of Data'!M$42-'Pt 1 Summary of Data'!N$42,0.3%*('Pt 1 Summary of Data'!K$5+'Pt 1 Summary of Data'!M$5-'Pt 1 Summary of Data'!N$5-SUM(J$10:J$11))))</f>
        <v>269903.14</v>
      </c>
      <c r="K7" s="121">
        <f>SUM(H7:J7)</f>
        <v>946543.77999999991</v>
      </c>
      <c r="L7" s="122">
        <f>SUM('Pt 1 Summary of Data'!O$37:O$41)+MAX(0,MIN('Pt 1 Summary of Data'!O$42,0.3%*('Pt 1 Summary of Data'!O$5-L$10)))</f>
        <v>0</v>
      </c>
      <c r="M7" s="115">
        <v>41275.579999999994</v>
      </c>
      <c r="N7" s="116">
        <v>45503.080000000016</v>
      </c>
      <c r="O7" s="121">
        <f>SUM('Pt 1 Summary of Data'!Q$37:Q$41)+SUM('Pt 1 Summary of Data'!S$37:S$41)-SUM('Pt 1 Summary of Data'!T$37:T$41)+MAX(0,MIN('Pt 1 Summary of Data'!Q$42+'Pt 1 Summary of Data'!S$42-'Pt 1 Summary of Data'!T$42,0.3%*('Pt 1 Summary of Data'!Q$5+'Pt 1 Summary of Data'!S$5-'Pt 1 Summary of Data'!T$5)))</f>
        <v>31439.899999999994</v>
      </c>
      <c r="P7" s="121">
        <f>SUM(M7:O7)</f>
        <v>118218.56</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2142999.48</v>
      </c>
      <c r="F9" s="121">
        <f>SUM(C9:E9)</f>
        <v>2142999.48</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1873080.72</v>
      </c>
      <c r="F10" s="121">
        <f>SUM(C10:E10)</f>
        <v>1873080.72</v>
      </c>
      <c r="G10" s="122">
        <f>'Pt 2 Premium and Claims'!I$16</f>
        <v>0</v>
      </c>
      <c r="H10" s="298"/>
      <c r="I10" s="294"/>
      <c r="J10" s="121">
        <f>'Pt 2 Premium and Claims'!K$16+'Pt 2 Premium and Claims'!M$16-'Pt 2 Premium and Claims'!N$16</f>
        <v>-358637.74</v>
      </c>
      <c r="K10" s="121">
        <f>SUM(H10:J10)</f>
        <v>-358637.74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3467285.3599999994</v>
      </c>
      <c r="D12" s="121">
        <f>SUM(D$6:D$7)+IF(AND(OR('Company Information'!$C$12="District of Columbia",'Company Information'!$C$12="Massachusetts",'Company Information'!$C$12="Vermont"),SUM($C$6:$F$11,$C$15:$F$16,$C$37:$D$37)&lt;&gt;0),SUM(I$6:I$7),0)</f>
        <v>5383871.9135999996</v>
      </c>
      <c r="E12" s="121">
        <f>SUM(E$6:E$7)-SUM(E$8:E$11)+IF(AND(OR('Company Information'!$C$12="District of Columbia",'Company Information'!$C$12="Massachusetts",'Company Information'!$C$12="Vermont"),SUM($C$6:$F$11,$C$15:$F$16,$C$37:$D$37)&lt;&gt;0),SUM(J$6:J$7)-SUM(J$10:J$11),0)</f>
        <v>8772591.3748000003</v>
      </c>
      <c r="F12" s="121">
        <f>IFERROR(SUM(C$12:E$12)+C$17*MAX(0,E$49-C$49)+D$17*MAX(0,E$49-D$49),0)</f>
        <v>17623748.648400001</v>
      </c>
      <c r="G12" s="317"/>
      <c r="H12" s="120">
        <f>SUM(H$6:H$7)+IF(AND(OR('Company Information'!$C$12="District of Columbia",'Company Information'!$C$12="Massachusetts",'Company Information'!$C$12="Vermont"),SUM($H$6:$K$11,$H$15:$K$16,$H$37:$I$37)&lt;&gt;0),SUM(C$6:C$7),0)</f>
        <v>15642802.000000004</v>
      </c>
      <c r="I12" s="121">
        <f>SUM(I$6:I$7)+IF(AND(OR('Company Information'!$C$12="District of Columbia",'Company Information'!$C$12="Massachusetts",'Company Information'!$C$12="Vermont"),SUM($H$6:$K$11,$H$15:$K$16,$H$37:$I$37)&lt;&gt;0),SUM(D$6:D$7),0)</f>
        <v>12277020.845424175</v>
      </c>
      <c r="J12" s="121">
        <f>SUM(J$6:J$7)-SUM(J$10:J$11)+IF(AND(OR('Company Information'!$C$12="District of Columbia",'Company Information'!$C$12="Massachusetts",'Company Information'!$C$12="Vermont"),SUM($H$6:$K$11,$H$15:$K$16,$H$37:$I$37)&lt;&gt;0),SUM(E$6:E$7)-SUM(E$8:E$11),0)</f>
        <v>16243342.974761955</v>
      </c>
      <c r="K12" s="121">
        <f>IFERROR(SUM(H$12:J$12)+H$17*MAX(0,J$49-H$49)+I$17*MAX(0,J$49-I$49),0)</f>
        <v>44163165.820186138</v>
      </c>
      <c r="L12" s="317"/>
      <c r="M12" s="120">
        <f>SUM(M$6:M$7)</f>
        <v>1260319.6600000004</v>
      </c>
      <c r="N12" s="121">
        <f>SUM(N$6:N$7)</f>
        <v>1729585.0906758306</v>
      </c>
      <c r="O12" s="121">
        <f>SUM(O$6:O$7)</f>
        <v>3324882.6873380458</v>
      </c>
      <c r="P12" s="121">
        <f>SUM(M$12:O$12)+M$17*MAX(0,O$49-M$49)+N$17*MAX(0,O$49-N$49)</f>
        <v>6314787.4380138768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5437844.7699999996</v>
      </c>
      <c r="D15" s="124">
        <v>5679327.7775355689</v>
      </c>
      <c r="E15" s="112">
        <f>SUM('Pt 1 Summary of Data'!E$5:E$7)+SUM('Pt 1 Summary of Data'!G$5:G$7)-SUM('Pt 1 Summary of Data'!H$5:H$7)-SUM(E$9:E$11)+D$55</f>
        <v>7421021.3224644298</v>
      </c>
      <c r="F15" s="112">
        <f>SUM(C15:E15)</f>
        <v>18538193.869999997</v>
      </c>
      <c r="G15" s="113">
        <f>SUM('Pt 1 Summary of Data'!I$5:I$7)-SUM(G$9:G$10)</f>
        <v>0</v>
      </c>
      <c r="H15" s="123">
        <v>19730682.789999999</v>
      </c>
      <c r="I15" s="124">
        <v>17592801.803849991</v>
      </c>
      <c r="J15" s="112">
        <f>SUM('Pt 1 Summary of Data'!K$5:K$7)+SUM('Pt 1 Summary of Data'!M$5:M$7)-SUM('Pt 1 Summary of Data'!N$5:N$7)-SUM(J$10:J$11)+I$55</f>
        <v>19064967.11548572</v>
      </c>
      <c r="K15" s="112">
        <f>SUM(H15:J15)</f>
        <v>56388451.709335707</v>
      </c>
      <c r="L15" s="113">
        <f>SUM('Pt 1 Summary of Data'!O$5:O$7)-L$10</f>
        <v>0</v>
      </c>
      <c r="M15" s="123">
        <v>2115576.2799999998</v>
      </c>
      <c r="N15" s="124">
        <v>2398808.4619497578</v>
      </c>
      <c r="O15" s="112">
        <f>SUM('Pt 1 Summary of Data'!Q$5:Q$7)+SUM('Pt 1 Summary of Data'!S$5:S$7)-SUM('Pt 1 Summary of Data'!T$5:T$7)+N$55</f>
        <v>2830066.2273157998</v>
      </c>
      <c r="P15" s="112">
        <f>SUM(M15:O15)</f>
        <v>7344450.9692655578</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469726</v>
      </c>
      <c r="D16" s="116">
        <v>-68604.32173751801</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-537415.81460248213</v>
      </c>
      <c r="F16" s="121">
        <f>SUM(C16:E16)</f>
        <v>-136294.13634000014</v>
      </c>
      <c r="G16" s="122">
        <f>SUM('Pt 1 Summary of Data'!I$25:I$28,'Pt 1 Summary of Data'!I$30,'Pt 1 Summary of Data'!I$34:I$35)+IF('Company Information'!$C$15="No",IF(MAX('Pt 1 Summary of Data'!I$31:I$32)=0,MIN('Pt 1 Summary of Data'!I$31:I$32),MAX('Pt 1 Summary of Data'!I$31:I$32)),SUM('Pt 1 Summary of Data'!I$31:I$32))</f>
        <v>0</v>
      </c>
      <c r="H16" s="115">
        <v>685557.62</v>
      </c>
      <c r="I16" s="116">
        <v>1269199.3893595119</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989933.24854130764</v>
      </c>
      <c r="K16" s="121">
        <f>SUM(H16:J16)</f>
        <v>2944690.2579008196</v>
      </c>
      <c r="L16" s="122">
        <f>SUM('Pt 1 Summary of Data'!O$25:O$28,'Pt 1 Summary of Data'!O$30,'Pt 1 Summary of Data'!O$34:O$35)+IF('Company Information'!$C$15="No",IF(MAX('Pt 1 Summary of Data'!O$31:O$32)=0,MIN('Pt 1 Summary of Data'!O$31:O$32),MAX('Pt 1 Summary of Data'!O$31:O$32)),SUM('Pt 1 Summary of Data'!O$31:O$32))</f>
        <v>0</v>
      </c>
      <c r="M16" s="115">
        <v>238827.56999999998</v>
      </c>
      <c r="N16" s="116">
        <v>38977.427826151456</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-72353.323825273386</v>
      </c>
      <c r="P16" s="121">
        <f>SUM(M16:O16)</f>
        <v>205451.67400087806</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4968118.7699999996</v>
      </c>
      <c r="D17" s="121">
        <f>D$15-D$16+IF(AND(OR('Company Information'!$C$12="District of Columbia",'Company Information'!$C$12="Massachusetts",'Company Information'!$C$12="Vermont"),SUM($C$6:$F$11,$C$15:$F$16,$C$37:$D$37)&lt;&gt;0),I$15-I$16,0)</f>
        <v>5747932.0992730865</v>
      </c>
      <c r="E17" s="121">
        <f>E$15-E$16+IF(AND(OR('Company Information'!$C$12="District of Columbia",'Company Information'!$C$12="Massachusetts",'Company Information'!$C$12="Vermont"),SUM($C$6:$F$11,$C$15:$F$16,$C$37:$D$37)&lt;&gt;0),J$15-J$16,0)</f>
        <v>7958437.1370669119</v>
      </c>
      <c r="F17" s="121">
        <f>F$15-F$16+IF(AND(OR('Company Information'!$C$12="District of Columbia",'Company Information'!$C$12="Massachusetts",'Company Information'!$C$12="Vermont"),SUM($C$6:$F$11,$C$15:$F$16,$C$37:$D$37)&lt;&gt;0),K$15-K$16,0)</f>
        <v>18674488.006339997</v>
      </c>
      <c r="G17" s="320"/>
      <c r="H17" s="120">
        <f>H$15-H$16+IF(AND(OR('Company Information'!$C$12="District of Columbia",'Company Information'!$C$12="Massachusetts",'Company Information'!$C$12="Vermont"),SUM($H$6:$K$11,$H$15:$K$16,$H$37:$I$37)&lt;&gt;0),C$15-C$16,0)</f>
        <v>19045125.169999998</v>
      </c>
      <c r="I17" s="121">
        <f>I$15-I$16+IF(AND(OR('Company Information'!$C$12="District of Columbia",'Company Information'!$C$12="Massachusetts",'Company Information'!$C$12="Vermont"),SUM($H$6:$K$11,$H$15:$K$16,$H$37:$I$37)&lt;&gt;0),D$15-D$16,0)</f>
        <v>16323602.41449048</v>
      </c>
      <c r="J17" s="121">
        <f>J$15-J$16+IF(AND(OR('Company Information'!$C$12="District of Columbia",'Company Information'!$C$12="Massachusetts",'Company Information'!$C$12="Vermont"),SUM($H$6:$K$11,$H$15:$K$16,$H$37:$I$37)&lt;&gt;0),E$15-E$16,0)</f>
        <v>18075033.866944414</v>
      </c>
      <c r="K17" s="121">
        <f>K$15-K$16+IF(AND(OR('Company Information'!$C$12="District of Columbia",'Company Information'!$C$12="Massachusetts",'Company Information'!$C$12="Vermont"),SUM($H$6:$K$11,$H$15:$K$16,$H$37:$I$37)&lt;&gt;0),F$15-F$16,0)</f>
        <v>53443761.451434888</v>
      </c>
      <c r="L17" s="320"/>
      <c r="M17" s="120">
        <f>M$15-M$16</f>
        <v>1876748.7099999997</v>
      </c>
      <c r="N17" s="121">
        <f>N$15-N$16</f>
        <v>2359831.0341236065</v>
      </c>
      <c r="O17" s="121">
        <f>O$15-O$16</f>
        <v>2902419.551141073</v>
      </c>
      <c r="P17" s="121">
        <f>P$15-P$16</f>
        <v>7138999.2952646799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2555</v>
      </c>
      <c r="D37" s="128">
        <v>2507</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2565</v>
      </c>
      <c r="F37" s="262">
        <f>SUM(C$37:E$37)+IF(AND(OR('Company Information'!$C$12="District of Columbia",'Company Information'!$C$12="Massachusetts",'Company Information'!$C$12="Vermont"),SUM($C$6:$F$11,$C$15:$F$16,$C$37:$D$37)&lt;&gt;0,SUM(C$37:D$37)&lt;&gt;SUM(H$37:I$37)),SUM(H$37:I$37),0)</f>
        <v>7627</v>
      </c>
      <c r="G37" s="318"/>
      <c r="H37" s="127">
        <v>5035.5</v>
      </c>
      <c r="I37" s="128">
        <v>4176</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4295.333333333333</v>
      </c>
      <c r="K37" s="262">
        <f>SUM(H$37:J$37)+IF(AND(OR('Company Information'!$C$12="District of Columbia",'Company Information'!$C$12="Massachusetts",'Company Information'!$C$12="Vermont"),SUM($H$6:$K$11,$H$15:$K$16,$H$37:$I$37)&lt;&gt;0,SUM(H$37:I$37)&lt;&gt;SUM(C$37:D$37)),SUM(C$37:D$37),0)</f>
        <v>13506.833333333332</v>
      </c>
      <c r="L37" s="318"/>
      <c r="M37" s="127">
        <v>609.83333333333337</v>
      </c>
      <c r="N37" s="128">
        <v>643</v>
      </c>
      <c r="O37" s="262">
        <f>('Pt 1 Summary of Data'!Q$59+'Pt 1 Summary of Data'!S$59-'Pt 1 Summary of Data'!T$59)/12</f>
        <v>700.16666666666663</v>
      </c>
      <c r="P37" s="262">
        <f>SUM(M$37:O$37)</f>
        <v>1953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3.1220599999999998E-2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2.3662111111111113E-2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6.3304666666666662E-2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4571.4362794653316</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1.3612007338050995</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4.2497503629835488E-2</v>
      </c>
      <c r="G41" s="317"/>
      <c r="H41" s="298"/>
      <c r="I41" s="294"/>
      <c r="J41" s="294"/>
      <c r="K41" s="266">
        <f ca="1">IF(OR(K$37&lt;1000,K$37&gt;=75000),0,K$38*K$40)</f>
        <v>2.3662111111111113E-2</v>
      </c>
      <c r="L41" s="317"/>
      <c r="M41" s="298"/>
      <c r="N41" s="294"/>
      <c r="O41" s="294"/>
      <c r="P41" s="266">
        <f ca="1">IF(OR(P$37&lt;1000,P$37&gt;=75000),0,P$38*P$40)</f>
        <v>6.3304666666666662E-2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0.6979070993506058</v>
      </c>
      <c r="D44" s="266">
        <f>IF(OR(D$37&lt;1000,D$17&lt;=0),"",D$12/D$17)</f>
        <v>0.93666240669072487</v>
      </c>
      <c r="E44" s="266">
        <f>IF(OR(E$37&lt;1000,E$17&lt;=0),"",E$12/E$17)</f>
        <v>1.1023007688206916</v>
      </c>
      <c r="F44" s="266">
        <f>IF(OR(F$37&lt;1000,F$17&lt;=0),"",F$12/F$17)</f>
        <v>0.94373396702585532</v>
      </c>
      <c r="G44" s="317"/>
      <c r="H44" s="268">
        <f>IF(OR(H$37&lt;1000,H$17&lt;=0),"",H$12/H$17)</f>
        <v>0.82135464379308176</v>
      </c>
      <c r="I44" s="266">
        <f>IF(OR(I$37&lt;1000,I$17&lt;=0),"",I$12/I$17)</f>
        <v>0.75210241793967303</v>
      </c>
      <c r="J44" s="266">
        <f>IF(OR(J$37&lt;1000,J$17&lt;=0),"",J$12/J$17)</f>
        <v>0.89866182792983584</v>
      </c>
      <c r="K44" s="266">
        <f>IF(OR(K$37&lt;1000,K$17&lt;=0),"",K$12/K$17)</f>
        <v>0.82634838231432939</v>
      </c>
      <c r="L44" s="317"/>
      <c r="M44" s="268" t="str">
        <f>IF(OR(M$37&lt;1000,M$17&lt;=0),"",M$12/M$17)</f>
        <v/>
      </c>
      <c r="N44" s="266" t="str">
        <f>IF(OR(N$37&lt;1000,N$17&lt;=0),"",N$12/N$17)</f>
        <v/>
      </c>
      <c r="O44" s="266" t="str">
        <f>IF(OR(O$37&lt;1000,O$17&lt;=0),"",O$12/O$17)</f>
        <v/>
      </c>
      <c r="P44" s="266">
        <f>IF(OR(P$37&lt;1000,P$17&lt;=0),"",P$12/P$17)</f>
        <v>0.88454798450568484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4.2497503629835488E-2</v>
      </c>
      <c r="G46" s="317"/>
      <c r="H46" s="298"/>
      <c r="I46" s="294"/>
      <c r="J46" s="294"/>
      <c r="K46" s="266">
        <f ca="1">IF(K$44="","",K$41)</f>
        <v>2.3662111111111113E-2</v>
      </c>
      <c r="L46" s="317"/>
      <c r="M46" s="298"/>
      <c r="N46" s="294"/>
      <c r="O46" s="294"/>
      <c r="P46" s="266">
        <f ca="1">IF(P$44="","",P$41)</f>
        <v>6.3304666666666662E-2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0.98599999999999999</v>
      </c>
      <c r="G47" s="317"/>
      <c r="H47" s="298"/>
      <c r="I47" s="294"/>
      <c r="J47" s="294"/>
      <c r="K47" s="266">
        <f ca="1">IF(K$44="","",ROUND(K$44+MAX(0,K$46),3))</f>
        <v>0.85</v>
      </c>
      <c r="L47" s="317"/>
      <c r="M47" s="298"/>
      <c r="N47" s="294"/>
      <c r="O47" s="294"/>
      <c r="P47" s="266">
        <f ca="1">IF(P$44="","",ROUND(P$44+MAX(0,P$46),3))</f>
        <v>0.94799999999999995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0.98599999999999999</v>
      </c>
      <c r="G50" s="317"/>
      <c r="H50" s="299"/>
      <c r="I50" s="295"/>
      <c r="J50" s="295"/>
      <c r="K50" s="266">
        <f ca="1">K$47</f>
        <v>0.85</v>
      </c>
      <c r="L50" s="317"/>
      <c r="M50" s="299"/>
      <c r="N50" s="295"/>
      <c r="O50" s="295"/>
      <c r="P50" s="266">
        <f ca="1">P$47</f>
        <v>0.94799999999999995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7958437.1370669119</v>
      </c>
      <c r="G51" s="317"/>
      <c r="H51" s="298"/>
      <c r="I51" s="294"/>
      <c r="J51" s="294"/>
      <c r="K51" s="121">
        <f>IF(K$37&lt;1000,"",MAX(0,J$15-J$16))</f>
        <v>18075033.866944414</v>
      </c>
      <c r="L51" s="317"/>
      <c r="M51" s="298"/>
      <c r="N51" s="294"/>
      <c r="O51" s="294"/>
      <c r="P51" s="121">
        <f>IF(P$37&lt;1000,"",MAX(0,O$15-O$16))</f>
        <v>2902419.551141073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59828.152464430736</v>
      </c>
      <c r="E55" s="294"/>
      <c r="F55" s="294"/>
      <c r="G55" s="317"/>
      <c r="H55" s="298"/>
      <c r="I55" s="116"/>
      <c r="J55" s="294"/>
      <c r="K55" s="294"/>
      <c r="L55" s="317"/>
      <c r="M55" s="298"/>
      <c r="N55" s="116">
        <v>322.54635890051242</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-722.67826248199208</v>
      </c>
      <c r="E56" s="294"/>
      <c r="F56" s="294"/>
      <c r="G56" s="317"/>
      <c r="H56" s="298"/>
      <c r="I56" s="116"/>
      <c r="J56" s="294"/>
      <c r="K56" s="294"/>
      <c r="L56" s="317"/>
      <c r="M56" s="298"/>
      <c r="N56" s="116">
        <v>5.2407461856192841</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1568</v>
      </c>
      <c r="D4" s="155">
        <f>'Pt 1 Summary of Data'!$K$56+'Pt 1 Summary of Data'!$M$56-'Pt 1 Summary of Data'!$N$56</f>
        <v>2078</v>
      </c>
      <c r="E4" s="155">
        <f>'Pt 1 Summary of Data'!$Q$56+'Pt 1 Summary of Data'!$S$56-'Pt 1 Summary of Data'!$T$56</f>
        <v>401</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v>155748.84825215791</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v>1</v>
      </c>
      <c r="F18" s="145"/>
      <c r="G18" s="145"/>
      <c r="H18" s="145"/>
      <c r="I18" s="359"/>
      <c r="J18" s="359"/>
      <c r="K18" s="373"/>
    </row>
    <row r="19" spans="2:12" ht="25.5" x14ac:dyDescent="0.2">
      <c r="B19" s="161" t="s">
        <v>208</v>
      </c>
      <c r="C19" s="357"/>
      <c r="D19" s="145"/>
      <c r="E19" s="145">
        <v>1</v>
      </c>
      <c r="F19" s="376"/>
      <c r="G19" s="145"/>
      <c r="H19" s="145"/>
      <c r="I19" s="359"/>
      <c r="J19" s="359"/>
      <c r="K19" s="377"/>
    </row>
    <row r="20" spans="2:12" ht="25.5" x14ac:dyDescent="0.2">
      <c r="B20" s="161" t="s">
        <v>209</v>
      </c>
      <c r="C20" s="375"/>
      <c r="D20" s="145"/>
      <c r="E20" s="145">
        <v>1</v>
      </c>
      <c r="F20" s="145"/>
      <c r="G20" s="145"/>
      <c r="H20" s="145"/>
      <c r="I20" s="359"/>
      <c r="J20" s="359"/>
      <c r="K20" s="373"/>
    </row>
    <row r="21" spans="2:12" ht="25.5" x14ac:dyDescent="0.2">
      <c r="B21" s="161" t="s">
        <v>210</v>
      </c>
      <c r="C21" s="357"/>
      <c r="D21" s="145"/>
      <c r="E21" s="145">
        <v>1</v>
      </c>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