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X49" i="10" l="1"/>
  <c r="W49" i="10"/>
  <c r="V49" i="10"/>
  <c r="U49" i="10"/>
  <c r="T49" i="10"/>
  <c r="S49" i="10"/>
  <c r="R49" i="10"/>
  <c r="Q49" i="10"/>
  <c r="H11" i="16"/>
  <c r="E11" i="16"/>
  <c r="D11" i="16"/>
  <c r="C11" i="16"/>
  <c r="H4" i="16"/>
  <c r="G4" i="16"/>
  <c r="F4" i="16"/>
  <c r="E4" i="16"/>
  <c r="D4" i="16"/>
  <c r="C4" i="16"/>
  <c r="AB52" i="10"/>
  <c r="X52" i="10"/>
  <c r="G11" i="16" s="1"/>
  <c r="T52" i="10"/>
  <c r="F11" i="16" s="1"/>
  <c r="P52" i="10"/>
  <c r="K52" i="10"/>
  <c r="F52" i="10"/>
  <c r="AB51" i="10"/>
  <c r="X51" i="10"/>
  <c r="T51" i="10"/>
  <c r="P51" i="10"/>
  <c r="K51" i="10"/>
  <c r="F51" i="10"/>
  <c r="AB50" i="10"/>
  <c r="P50" i="10"/>
  <c r="K50" i="10"/>
  <c r="F50" i="10"/>
  <c r="AB47" i="10"/>
  <c r="P47" i="10"/>
  <c r="K47" i="10"/>
  <c r="F47" i="10"/>
  <c r="AB46" i="10"/>
  <c r="T46" i="10"/>
  <c r="P46" i="10"/>
  <c r="K46" i="10"/>
  <c r="F46" i="10"/>
  <c r="AB45" i="10"/>
  <c r="AA45" i="10"/>
  <c r="Z45" i="10"/>
  <c r="Y45" i="10"/>
  <c r="X45" i="10"/>
  <c r="X47" i="10" s="1"/>
  <c r="X50" i="10" s="1"/>
  <c r="W45" i="10"/>
  <c r="X38" i="10" s="1"/>
  <c r="V45" i="10"/>
  <c r="U45" i="10"/>
  <c r="T45" i="10"/>
  <c r="T47" i="10" s="1"/>
  <c r="T50" i="10" s="1"/>
  <c r="S45" i="10"/>
  <c r="R45" i="10"/>
  <c r="Q45" i="10"/>
  <c r="P44" i="10"/>
  <c r="O44" i="10"/>
  <c r="N44" i="10"/>
  <c r="M44" i="10"/>
  <c r="K44" i="10"/>
  <c r="J44" i="10"/>
  <c r="I44" i="10"/>
  <c r="H44" i="10"/>
  <c r="F44" i="10"/>
  <c r="E44" i="10"/>
  <c r="D44" i="10"/>
  <c r="C44" i="10"/>
  <c r="AB41" i="10"/>
  <c r="X41" i="10"/>
  <c r="T41" i="10"/>
  <c r="P41" i="10"/>
  <c r="K41" i="10"/>
  <c r="F41" i="10"/>
  <c r="AB40" i="10"/>
  <c r="X40" i="10"/>
  <c r="T40" i="10"/>
  <c r="P40" i="10"/>
  <c r="K40" i="10"/>
  <c r="F40" i="10"/>
  <c r="T38" i="10"/>
  <c r="P38" i="10"/>
  <c r="K38" i="10"/>
  <c r="F38" i="10"/>
  <c r="AB37" i="10"/>
  <c r="AA37" i="10"/>
  <c r="X37" i="10"/>
  <c r="W37" i="10"/>
  <c r="T37" i="10"/>
  <c r="S37" i="10"/>
  <c r="P37" i="10"/>
  <c r="O37" i="10"/>
  <c r="K37" i="10"/>
  <c r="J37" i="10"/>
  <c r="F37" i="10"/>
  <c r="E37" i="10"/>
  <c r="L29" i="10"/>
  <c r="L28" i="10"/>
  <c r="G28" i="10"/>
  <c r="L25" i="10"/>
  <c r="G25" i="10"/>
  <c r="L21" i="10"/>
  <c r="G21" i="10"/>
  <c r="L20" i="10"/>
  <c r="L19" i="10"/>
  <c r="L24" i="10" s="1"/>
  <c r="G19" i="10"/>
  <c r="G24" i="10" s="1"/>
  <c r="AB17" i="10"/>
  <c r="AA17" i="10"/>
  <c r="Z17" i="10"/>
  <c r="AB13" i="10" s="1"/>
  <c r="Y17" i="10"/>
  <c r="X17" i="10"/>
  <c r="W17" i="10"/>
  <c r="V17" i="10"/>
  <c r="U17" i="10"/>
  <c r="T17" i="10"/>
  <c r="S17" i="10"/>
  <c r="R17" i="10"/>
  <c r="Q17" i="10"/>
  <c r="T13" i="10" s="1"/>
  <c r="P17" i="10"/>
  <c r="O17" i="10"/>
  <c r="N17" i="10"/>
  <c r="M17" i="10"/>
  <c r="K17" i="10"/>
  <c r="J17" i="10"/>
  <c r="I17" i="10"/>
  <c r="H17" i="10"/>
  <c r="F17" i="10"/>
  <c r="E17" i="10"/>
  <c r="D17" i="10"/>
  <c r="C17" i="10"/>
  <c r="AB16" i="10"/>
  <c r="AA16" i="10"/>
  <c r="X16" i="10"/>
  <c r="W16" i="10"/>
  <c r="U13" i="10" s="1"/>
  <c r="T16" i="10"/>
  <c r="S16" i="10"/>
  <c r="S13" i="10" s="1"/>
  <c r="P16" i="10"/>
  <c r="O16" i="10"/>
  <c r="L16" i="10"/>
  <c r="K16" i="10"/>
  <c r="J16" i="10"/>
  <c r="H12" i="10" s="1"/>
  <c r="G16" i="10"/>
  <c r="F16" i="10"/>
  <c r="E16" i="10"/>
  <c r="AB15" i="10"/>
  <c r="AA15" i="10"/>
  <c r="X15" i="10"/>
  <c r="W15" i="10"/>
  <c r="T15" i="10"/>
  <c r="S15" i="10"/>
  <c r="P15" i="10"/>
  <c r="O15" i="10"/>
  <c r="L15" i="10"/>
  <c r="K15" i="10"/>
  <c r="J15" i="10"/>
  <c r="G15" i="10"/>
  <c r="F15" i="10"/>
  <c r="E15" i="10"/>
  <c r="AA13" i="10"/>
  <c r="Z13" i="10"/>
  <c r="Y13" i="10"/>
  <c r="V13" i="10"/>
  <c r="R13" i="10"/>
  <c r="P12" i="10"/>
  <c r="O12" i="10"/>
  <c r="N12" i="10"/>
  <c r="M12" i="10"/>
  <c r="I12" i="10"/>
  <c r="K11" i="10"/>
  <c r="J11" i="10"/>
  <c r="F11" i="10"/>
  <c r="E11" i="10"/>
  <c r="L10" i="10"/>
  <c r="K10" i="10"/>
  <c r="J10" i="10"/>
  <c r="G10" i="10"/>
  <c r="F10" i="10"/>
  <c r="E10" i="10"/>
  <c r="G9" i="10"/>
  <c r="F9" i="10"/>
  <c r="E9" i="10"/>
  <c r="F8" i="10"/>
  <c r="AB7" i="10"/>
  <c r="AA7" i="10"/>
  <c r="X7" i="10"/>
  <c r="W7" i="10"/>
  <c r="T7" i="10"/>
  <c r="S7" i="10"/>
  <c r="P7" i="10"/>
  <c r="O7" i="10"/>
  <c r="L7" i="10"/>
  <c r="J7" i="10"/>
  <c r="K7" i="10" s="1"/>
  <c r="G7" i="10"/>
  <c r="G20" i="10" s="1"/>
  <c r="E7" i="10"/>
  <c r="F7" i="10" s="1"/>
  <c r="AB6" i="10"/>
  <c r="AA6" i="10"/>
  <c r="X6" i="10"/>
  <c r="W6" i="10"/>
  <c r="T6" i="10"/>
  <c r="S6" i="10"/>
  <c r="P6" i="10"/>
  <c r="O6" i="10"/>
  <c r="L6" i="10"/>
  <c r="K6" i="10"/>
  <c r="J6" i="10"/>
  <c r="G6" i="10"/>
  <c r="F6" i="10"/>
  <c r="E6" i="10"/>
  <c r="AU55" i="18"/>
  <c r="AT55" i="18"/>
  <c r="AT22" i="4" s="1"/>
  <c r="AS55" i="18"/>
  <c r="AC55" i="18"/>
  <c r="AC22" i="4" s="1"/>
  <c r="AB55" i="18"/>
  <c r="AA55" i="18"/>
  <c r="Z55" i="18"/>
  <c r="Z22" i="4" s="1"/>
  <c r="Y55" i="18"/>
  <c r="Y22" i="4" s="1"/>
  <c r="X55" i="18"/>
  <c r="W55" i="18"/>
  <c r="W22" i="4" s="1"/>
  <c r="V55" i="18"/>
  <c r="V22" i="4" s="1"/>
  <c r="U55" i="18"/>
  <c r="T55" i="18"/>
  <c r="T22" i="4" s="1"/>
  <c r="S55" i="18"/>
  <c r="R55" i="18"/>
  <c r="R22" i="4" s="1"/>
  <c r="Q55" i="18"/>
  <c r="P55" i="18"/>
  <c r="O55" i="18"/>
  <c r="N55" i="18"/>
  <c r="N22" i="4" s="1"/>
  <c r="M55" i="18"/>
  <c r="M22" i="4" s="1"/>
  <c r="L55" i="18"/>
  <c r="L22" i="4" s="1"/>
  <c r="K55" i="18"/>
  <c r="K22" i="4" s="1"/>
  <c r="J55" i="18"/>
  <c r="J22" i="4" s="1"/>
  <c r="I55" i="18"/>
  <c r="H55" i="18"/>
  <c r="G55" i="18"/>
  <c r="G22" i="4" s="1"/>
  <c r="F55" i="18"/>
  <c r="E55" i="18"/>
  <c r="D55" i="18"/>
  <c r="D22" i="4" s="1"/>
  <c r="AU54" i="18"/>
  <c r="AT54" i="18"/>
  <c r="AS54" i="18"/>
  <c r="AS12" i="4" s="1"/>
  <c r="AC54" i="18"/>
  <c r="AC12" i="4" s="1"/>
  <c r="AB54" i="18"/>
  <c r="AB12" i="4" s="1"/>
  <c r="AA54" i="18"/>
  <c r="AA12" i="4" s="1"/>
  <c r="Z54" i="18"/>
  <c r="Z12" i="4" s="1"/>
  <c r="Y54" i="18"/>
  <c r="Y12" i="4" s="1"/>
  <c r="X54" i="18"/>
  <c r="W54" i="18"/>
  <c r="V54" i="18"/>
  <c r="V12" i="4" s="1"/>
  <c r="U54" i="18"/>
  <c r="U12" i="4" s="1"/>
  <c r="T54" i="18"/>
  <c r="T12" i="4" s="1"/>
  <c r="S54" i="18"/>
  <c r="R54" i="18"/>
  <c r="R12" i="4" s="1"/>
  <c r="Q54" i="18"/>
  <c r="P54" i="18"/>
  <c r="P12" i="4" s="1"/>
  <c r="O54" i="18"/>
  <c r="O12" i="4" s="1"/>
  <c r="N54" i="18"/>
  <c r="N12" i="4" s="1"/>
  <c r="M54" i="18"/>
  <c r="M12" i="4" s="1"/>
  <c r="L54" i="18"/>
  <c r="K54" i="18"/>
  <c r="J54" i="18"/>
  <c r="J12" i="4" s="1"/>
  <c r="I54" i="18"/>
  <c r="I12" i="4" s="1"/>
  <c r="H54" i="18"/>
  <c r="H12" i="4" s="1"/>
  <c r="G54" i="18"/>
  <c r="F54" i="18"/>
  <c r="F12" i="4" s="1"/>
  <c r="E54" i="18"/>
  <c r="D54" i="18"/>
  <c r="D12" i="4" s="1"/>
  <c r="AV60" i="4"/>
  <c r="AU60" i="4"/>
  <c r="AT60" i="4"/>
  <c r="AS60" i="4"/>
  <c r="AC60" i="4"/>
  <c r="AB60" i="4"/>
  <c r="AA60" i="4"/>
  <c r="Z60" i="4"/>
  <c r="Y60" i="4"/>
  <c r="X60" i="4"/>
  <c r="W60" i="4"/>
  <c r="V60" i="4"/>
  <c r="U60" i="4"/>
  <c r="T60" i="4"/>
  <c r="S60" i="4"/>
  <c r="R60" i="4"/>
  <c r="Q60" i="4"/>
  <c r="P60" i="4"/>
  <c r="O60" i="4"/>
  <c r="N60" i="4"/>
  <c r="M60" i="4"/>
  <c r="L60" i="4"/>
  <c r="K60" i="4"/>
  <c r="J60" i="4"/>
  <c r="I60" i="4"/>
  <c r="H60" i="4"/>
  <c r="G60" i="4"/>
  <c r="F60" i="4"/>
  <c r="E60" i="4"/>
  <c r="D60" i="4"/>
  <c r="AU22" i="4"/>
  <c r="AS22" i="4"/>
  <c r="AB22" i="4"/>
  <c r="AA22" i="4"/>
  <c r="X22" i="4"/>
  <c r="U22" i="4"/>
  <c r="S22" i="4"/>
  <c r="Q22" i="4"/>
  <c r="P22" i="4"/>
  <c r="O22" i="4"/>
  <c r="I22" i="4"/>
  <c r="H22" i="4"/>
  <c r="F22" i="4"/>
  <c r="E22" i="4"/>
  <c r="AU12" i="4"/>
  <c r="AT12" i="4"/>
  <c r="X12" i="4"/>
  <c r="W12" i="4"/>
  <c r="S12" i="4"/>
  <c r="Q12" i="4"/>
  <c r="L12" i="4"/>
  <c r="K12" i="4"/>
  <c r="G12" i="4"/>
  <c r="E12" i="4"/>
  <c r="AU5" i="4"/>
  <c r="AT5" i="4"/>
  <c r="AS5" i="4"/>
  <c r="AC5" i="4"/>
  <c r="AB5" i="4"/>
  <c r="AA5" i="4"/>
  <c r="Z5" i="4"/>
  <c r="Y5" i="4"/>
  <c r="X5" i="4"/>
  <c r="W5" i="4"/>
  <c r="V5" i="4"/>
  <c r="U5" i="4"/>
  <c r="T5" i="4"/>
  <c r="S5" i="4"/>
  <c r="R5" i="4"/>
  <c r="Q5" i="4"/>
  <c r="P5" i="4"/>
  <c r="O5" i="4"/>
  <c r="N5" i="4"/>
  <c r="M5" i="4"/>
  <c r="L5" i="4"/>
  <c r="K5" i="4"/>
  <c r="J5" i="4"/>
  <c r="I5" i="4"/>
  <c r="H5" i="4"/>
  <c r="G5" i="4"/>
  <c r="F5" i="4"/>
  <c r="E5" i="4"/>
  <c r="D5" i="4"/>
  <c r="G27" i="10" l="1"/>
  <c r="G29" i="10"/>
  <c r="X46" i="10"/>
  <c r="AB38" i="10"/>
  <c r="G26" i="10"/>
  <c r="G30" i="10" s="1"/>
  <c r="L23" i="10"/>
  <c r="L27" i="10" s="1"/>
  <c r="L31" i="10" s="1"/>
  <c r="L32" i="10" s="1"/>
  <c r="L33" i="10" s="1"/>
  <c r="G23" i="10"/>
  <c r="W13" i="10"/>
  <c r="X13" i="10"/>
  <c r="Q13" i="10"/>
  <c r="J12" i="10"/>
  <c r="K12" i="10" s="1"/>
  <c r="E12" i="10"/>
  <c r="C12" i="10"/>
  <c r="D12" i="10"/>
  <c r="L26" i="10" l="1"/>
  <c r="L30" i="10" s="1"/>
  <c r="G31" i="10"/>
  <c r="G32" i="10" s="1"/>
  <c r="G33" i="10" s="1"/>
  <c r="F12" i="10"/>
</calcChain>
</file>

<file path=xl/sharedStrings.xml><?xml version="1.0" encoding="utf-8"?>
<sst xmlns="http://schemas.openxmlformats.org/spreadsheetml/2006/main" count="566" uniqueCount="505">
  <si>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</si>
  <si>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</si>
  <si>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</si>
  <si>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</si>
  <si>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</si>
  <si>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</si>
  <si>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</si>
  <si>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</si>
  <si>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</si>
  <si>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</si>
  <si>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</si>
  <si>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</si>
  <si>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</si>
  <si>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</si>
  <si>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</si>
  <si>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</si>
  <si>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</si>
  <si>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</si>
  <si>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</si>
  <si>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</si>
  <si>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</si>
  <si>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</si>
  <si>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</si>
  <si>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</si>
  <si>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</si>
  <si>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</si>
  <si>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</si>
  <si>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</si>
  <si>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</si>
  <si>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</si>
  <si>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</si>
  <si>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</si>
  <si>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</si>
  <si>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</si>
  <si>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</si>
  <si>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</si>
  <si>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</si>
  <si>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</si>
  <si>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</si>
  <si>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</si>
  <si>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</si>
  <si>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</si>
  <si>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</si>
  <si>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</si>
  <si>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</si>
  <si>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</si>
  <si>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</si>
  <si>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</si>
  <si>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</si>
  <si>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</si>
  <si>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</si>
  <si>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</si>
  <si>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</si>
  <si>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</si>
  <si>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</si>
  <si>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</si>
  <si>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</si>
  <si>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</si>
  <si>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</si>
  <si>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</si>
  <si>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</si>
  <si>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</si>
  <si>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</si>
  <si>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</si>
  <si>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</si>
  <si>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</si>
  <si>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</si>
  <si>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</si>
  <si>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</si>
  <si>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</si>
  <si>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</si>
  <si>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</si>
  <si>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</si>
  <si>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</si>
  <si>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</si>
  <si>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</si>
  <si>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</si>
  <si>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</si>
  <si>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</si>
  <si>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</si>
  <si>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</si>
  <si>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</si>
  <si>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</si>
  <si>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</si>
  <si>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</si>
  <si>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</si>
  <si>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</si>
  <si>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</si>
  <si>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</si>
  <si>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</si>
  <si>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</si>
  <si>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</si>
  <si>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</si>
  <si>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</si>
  <si>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</si>
  <si>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</si>
  <si>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</si>
  <si>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</si>
  <si>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</si>
  <si>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</si>
  <si>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</si>
  <si>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</si>
  <si>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</si>
  <si>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</si>
  <si>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</si>
  <si>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</si>
  <si>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</si>
  <si>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</si>
  <si>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</si>
  <si>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</si>
  <si>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</si>
  <si>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</si>
  <si>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</si>
  <si>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</si>
  <si>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</si>
  <si>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</si>
  <si>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</si>
  <si>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</si>
  <si>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</si>
  <si>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</si>
  <si>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</si>
  <si>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</si>
  <si>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</si>
  <si>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</si>
  <si>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</si>
  <si>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</si>
  <si>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</si>
  <si>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</si>
  <si>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</si>
  <si>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</si>
  <si>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</si>
  <si>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</si>
  <si>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</si>
  <si>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</si>
  <si>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</si>
  <si>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</si>
  <si>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</si>
  <si>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</si>
  <si>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</si>
  <si>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</si>
  <si>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</si>
  <si>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</si>
  <si>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</si>
  <si>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</si>
  <si>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</si>
  <si>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</si>
  <si>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</si>
  <si>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</si>
  <si>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</si>
  <si>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</si>
  <si>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</si>
  <si>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</si>
  <si>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</si>
  <si>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</si>
  <si>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</si>
  <si>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</si>
  <si>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</si>
  <si>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</si>
  <si>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</si>
  <si>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</si>
  <si>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</si>
  <si>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</si>
  <si>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</si>
  <si>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</si>
  <si>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</si>
  <si>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</si>
  <si>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</si>
  <si>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</si>
  <si>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</si>
  <si>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</si>
  <si>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</si>
  <si>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</si>
  <si>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</si>
  <si>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</si>
  <si>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</si>
  <si>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</si>
  <si>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</si>
  <si>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</si>
  <si>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</si>
  <si>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</si>
  <si>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</si>
  <si>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</si>
  <si>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</si>
  <si>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</si>
  <si>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</si>
  <si>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</si>
  <si>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</si>
  <si>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</si>
  <si>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</si>
  <si>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</si>
  <si>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</si>
  <si>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</si>
  <si>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</si>
  <si>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</si>
  <si>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</si>
  <si>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</si>
  <si>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</si>
  <si>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</si>
  <si>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</si>
  <si>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</si>
  <si>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</si>
  <si>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</si>
  <si>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</si>
  <si>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</si>
  <si>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</si>
  <si>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</si>
  <si>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</si>
  <si>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</si>
  <si>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</si>
  <si>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</si>
  <si>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</si>
  <si>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</si>
  <si>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</si>
  <si>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</si>
  <si>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</si>
  <si>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</si>
  <si>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</si>
  <si>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</si>
  <si>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</si>
  <si>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</si>
  <si>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</si>
  <si>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</si>
  <si>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</si>
  <si>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</si>
  <si>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</si>
  <si>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</si>
  <si>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</si>
  <si>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</si>
  <si>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</si>
  <si>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</si>
  <si>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</si>
  <si>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</si>
  <si>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</si>
  <si>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</si>
  <si>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</si>
  <si>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</si>
  <si>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</si>
  <si>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</si>
  <si>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</si>
  <si>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</si>
  <si>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</si>
  <si>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</si>
  <si>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</si>
  <si>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</si>
  <si>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</si>
  <si>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</si>
  <si>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</si>
  <si>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</si>
  <si>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</si>
  <si>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</si>
  <si>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</si>
  <si>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</si>
  <si>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</si>
  <si>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</si>
  <si>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</si>
  <si>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</si>
  <si>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</si>
  <si>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</si>
  <si>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</si>
  <si>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</si>
  <si>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</si>
  <si>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</si>
  <si>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</si>
  <si>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</si>
  <si>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</si>
  <si>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</si>
  <si>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</si>
  <si>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</si>
  <si>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</si>
  <si>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</si>
  <si>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</si>
  <si>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</si>
  <si>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</si>
  <si>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</si>
  <si>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</si>
  <si>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</si>
  <si>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</si>
  <si>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</si>
  <si>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</si>
  <si>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</si>
  <si>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</si>
  <si>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</si>
  <si>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</si>
  <si>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</si>
  <si>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</si>
  <si>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</si>
  <si>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</si>
  <si>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</si>
  <si>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</si>
  <si>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</si>
  <si>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</si>
  <si>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</si>
  <si>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</si>
  <si>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</si>
  <si>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</si>
  <si>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</si>
  <si>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</si>
  <si>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</si>
  <si>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</si>
  <si>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</si>
  <si>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</si>
  <si>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</si>
  <si>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</si>
  <si>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</si>
  <si>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</si>
  <si>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</si>
  <si>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</si>
  <si>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</si>
  <si>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</si>
  <si>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</si>
  <si>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</si>
  <si>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</si>
  <si>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</si>
  <si>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</si>
  <si>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</si>
  <si>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</si>
  <si>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</si>
  <si>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</si>
  <si>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</si>
  <si>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</si>
  <si>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</si>
  <si>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</si>
  <si>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</si>
  <si>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</si>
  <si>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</si>
  <si>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</si>
  <si>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</si>
  <si>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</si>
  <si>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</si>
  <si>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</si>
  <si>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</si>
  <si>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</si>
  <si>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</si>
  <si>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</si>
  <si>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</si>
  <si>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</si>
  <si>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</si>
  <si>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</si>
  <si>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</si>
  <si>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</si>
  <si>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</si>
  <si>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</si>
  <si>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</si>
  <si>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</si>
  <si>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</si>
  <si>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</si>
  <si>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</si>
  <si>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</si>
  <si>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</si>
  <si>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</si>
  <si>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</si>
  <si>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</si>
  <si>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</si>
  <si>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</si>
  <si>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</si>
  <si>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</si>
  <si>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</si>
  <si>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</si>
  <si>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</si>
  <si>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</si>
  <si>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</si>
  <si>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</si>
  <si>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</si>
  <si>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</si>
  <si>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</si>
  <si>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</si>
  <si>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</si>
  <si>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</si>
  <si>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</si>
  <si>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</si>
  <si>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</si>
  <si>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</si>
  <si>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</si>
  <si>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</si>
  <si>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</si>
  <si>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</si>
  <si>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</si>
  <si>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</si>
  <si>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</si>
  <si>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</si>
  <si>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</si>
  <si>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</si>
  <si>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</si>
  <si>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</si>
  <si>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</si>
  <si>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</si>
  <si>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</si>
  <si>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</si>
  <si>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</si>
  <si>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</si>
  <si>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</si>
  <si>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</si>
  <si>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</si>
  <si>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</si>
  <si>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</si>
  <si>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</si>
  <si>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</si>
  <si>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</si>
  <si>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</si>
  <si>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</si>
  <si>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</si>
  <si>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</si>
  <si>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</si>
  <si>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</si>
  <si>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</si>
  <si>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</si>
  <si>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</si>
  <si>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</si>
  <si>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</si>
  <si>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</si>
  <si>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</si>
  <si>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</si>
  <si>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</si>
  <si>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</si>
  <si>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</si>
  <si>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</si>
  <si>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</si>
  <si>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</si>
  <si>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</si>
  <si>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</si>
  <si>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</si>
  <si>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</si>
  <si>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</si>
  <si>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</si>
  <si>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</si>
  <si>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</si>
  <si>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</si>
  <si>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</si>
  <si>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</si>
  <si>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</si>
  <si>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</si>
  <si>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</si>
  <si>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</si>
  <si>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</si>
  <si>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</si>
  <si>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</si>
  <si>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</si>
  <si>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</si>
  <si>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</si>
  <si>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</si>
  <si>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</si>
  <si>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</si>
  <si>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</si>
  <si>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</si>
  <si>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</si>
  <si>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</si>
  <si>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</si>
  <si>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</si>
  <si>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</si>
  <si>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</si>
  <si>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</si>
  <si>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</si>
  <si>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</si>
  <si>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</si>
  <si>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</si>
  <si>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</si>
  <si>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</si>
  <si>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</si>
  <si>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</si>
  <si>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</si>
  <si>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</si>
  <si>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</si>
  <si>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</si>
  <si>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</si>
  <si>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</si>
  <si>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</si>
  <si>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</si>
  <si>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</si>
  <si>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</si>
  <si>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</si>
  <si>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</si>
  <si>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</si>
  <si>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</si>
  <si>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</si>
  <si>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</si>
  <si>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</si>
  <si>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</si>
  <si>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</si>
  <si>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</si>
  <si>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</si>
  <si>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</si>
  <si>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</si>
  <si>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</si>
  <si>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</si>
  <si>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</si>
  <si>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</si>
  <si>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</si>
  <si>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</si>
  <si>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</si>
  <si>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</si>
  <si>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</si>
  <si>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</si>
  <si>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</si>
  <si>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</si>
  <si>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Humana Insurance Company</t>
  </si>
  <si>
    <t>HUMANA GRP</t>
  </si>
  <si>
    <t>Humana</t>
  </si>
  <si>
    <t>119</t>
  </si>
  <si>
    <t>2014</t>
  </si>
  <si>
    <t>1100 Employers Boulevard DePere, WI 54115</t>
  </si>
  <si>
    <t>391263473</t>
  </si>
  <si>
    <t>073288</t>
  </si>
  <si>
    <t>73288</t>
  </si>
  <si>
    <t>90624</t>
  </si>
  <si>
    <t>219</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</si>
</sst>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504</v>
      </c>
      <c r="B4" s="238" t="s">
        <v>45</v>
      </c>
      <c r="C4" s="384" t="s">
        <v>494</v>
      </c>
    </row>
    <row r="5" spans="1:6" x14ac:dyDescent="0.2">
      <c r="B5" s="238" t="s">
        <v>215</v>
      </c>
      <c r="C5" s="384" t="s">
        <v>495</v>
      </c>
    </row>
    <row r="6" spans="1:6" x14ac:dyDescent="0.2">
      <c r="B6" s="238" t="s">
        <v>216</v>
      </c>
      <c r="C6" s="384" t="s">
        <v>500</v>
      </c>
    </row>
    <row r="7" spans="1:6" x14ac:dyDescent="0.2">
      <c r="B7" s="238" t="s">
        <v>128</v>
      </c>
      <c r="C7" s="384" t="s">
        <v>501</v>
      </c>
    </row>
    <row r="8" spans="1:6" x14ac:dyDescent="0.2">
      <c r="B8" s="238" t="s">
        <v>36</v>
      </c>
      <c r="C8" s="384" t="s">
        <v>497</v>
      </c>
    </row>
    <row r="9" spans="1:6" x14ac:dyDescent="0.2">
      <c r="B9" s="238" t="s">
        <v>41</v>
      </c>
      <c r="C9" s="384" t="s">
        <v>502</v>
      </c>
    </row>
    <row r="10" spans="1:6" x14ac:dyDescent="0.2">
      <c r="B10" s="238" t="s">
        <v>58</v>
      </c>
      <c r="C10" s="384" t="s">
        <v>496</v>
      </c>
    </row>
    <row r="11" spans="1:6" x14ac:dyDescent="0.2">
      <c r="B11" s="238" t="s">
        <v>355</v>
      </c>
      <c r="C11" s="384" t="s">
        <v>503</v>
      </c>
    </row>
    <row r="12" spans="1:6" x14ac:dyDescent="0.2">
      <c r="B12" s="238" t="s">
        <v>35</v>
      </c>
      <c r="C12" s="384" t="s">
        <v>171</v>
      </c>
    </row>
    <row r="13" spans="1:6" x14ac:dyDescent="0.2">
      <c r="B13" s="238" t="s">
        <v>50</v>
      </c>
      <c r="C13" s="384" t="s">
        <v>192</v>
      </c>
    </row>
    <row r="14" spans="1:6" x14ac:dyDescent="0.2">
      <c r="B14" s="238" t="s">
        <v>51</v>
      </c>
      <c r="C14" s="384" t="s">
        <v>499</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498</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customProperties>
    <customPr name="WingsLinkVersion" r:id="rId2"/>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f>SUM('Pt 2 Premium and Claims'!D$5,'Pt 2 Premium and Claims'!D$6,-'Pt 2 Premium and Claims'!D$7,-'Pt 2 Premium and Claims'!D$13,'Pt 2 Premium and Claims'!D$14:'Pt 2 Premium and Claims'!D$17)</f>
        <v>0</v>
      </c>
      <c r="E5" s="112">
        <f>SUM('Pt 2 Premium and Claims'!E$5,'Pt 2 Premium and Claims'!E$6,-'Pt 2 Premium and Claims'!E$7,-'Pt 2 Premium and Claims'!E$13,'Pt 2 Premium and Claims'!E$14:'Pt 2 Premium and Claims'!E$17)</f>
        <v>0</v>
      </c>
      <c r="F5" s="112">
        <f>SUM('Pt 2 Premium and Claims'!F$5,'Pt 2 Premium and Claims'!F$6,-'Pt 2 Premium and Claims'!F$7,-'Pt 2 Premium and Claims'!F$13,'Pt 2 Premium and Claims'!F$14:'Pt 2 Premium and Claims'!F$17)</f>
        <v>0</v>
      </c>
      <c r="G5" s="112">
        <f>SUM('Pt 2 Premium and Claims'!G$5,'Pt 2 Premium and Claims'!G$6,-'Pt 2 Premium and Claims'!G$7,-'Pt 2 Premium and Claims'!G$13,'Pt 2 Premium and Claims'!G$14:'Pt 2 Premium and Claims'!G$17)</f>
        <v>0</v>
      </c>
      <c r="H5" s="112">
        <f>SUM('Pt 2 Premium and Claims'!H$5,'Pt 2 Premium and Claims'!H$6,-'Pt 2 Premium and Claims'!H$7,-'Pt 2 Premium and Claims'!H$13,'Pt 2 Premium and Claims'!H$14:'Pt 2 Premium and Claims'!H$17)</f>
        <v>0</v>
      </c>
      <c r="I5" s="111">
        <f>SUM('Pt 2 Premium and Claims'!I$5,'Pt 2 Premium and Claims'!I$6,-'Pt 2 Premium and Claims'!I$7,-'Pt 2 Premium and Claims'!I$13,'Pt 2 Premium and Claims'!I$14:'Pt 2 Premium and Claims'!I$16)</f>
        <v>0</v>
      </c>
      <c r="J5" s="111">
        <f>SUM('Pt 2 Premium and Claims'!J$5,'Pt 2 Premium and Claims'!J$6,-'Pt 2 Premium and Claims'!J$7,-'Pt 2 Premium and Claims'!J$13,'Pt 2 Premium and Claims'!J$14,'Pt 2 Premium and Claims'!J$16:'Pt 2 Premium and Claims'!J$17)</f>
        <v>0</v>
      </c>
      <c r="K5" s="112">
        <f>SUM('Pt 2 Premium and Claims'!K$5,'Pt 2 Premium and Claims'!K$6,-'Pt 2 Premium and Claims'!K$7,-'Pt 2 Premium and Claims'!K$13,'Pt 2 Premium and Claims'!K$14,'Pt 2 Premium and Claims'!K$16:'Pt 2 Premium and Claims'!K$17)</f>
        <v>0</v>
      </c>
      <c r="L5" s="112">
        <f>SUM('Pt 2 Premium and Claims'!L$5,'Pt 2 Premium and Claims'!L$6,-'Pt 2 Premium and Claims'!L$7,-'Pt 2 Premium and Claims'!L$13,'Pt 2 Premium and Claims'!L$14,'Pt 2 Premium and Claims'!L$16:'Pt 2 Premium and Claims'!L$17)</f>
        <v>0</v>
      </c>
      <c r="M5" s="112">
        <f>SUM('Pt 2 Premium and Claims'!M$5,'Pt 2 Premium and Claims'!M$6,-'Pt 2 Premium and Claims'!M$7,-'Pt 2 Premium and Claims'!M$13,'Pt 2 Premium and Claims'!M$14,'Pt 2 Premium and Claims'!M$16:'Pt 2 Premium and Claims'!M$17)</f>
        <v>0</v>
      </c>
      <c r="N5" s="112">
        <f>SUM('Pt 2 Premium and Claims'!N$5,'Pt 2 Premium and Claims'!N$6,-'Pt 2 Premium and Claims'!N$7,-'Pt 2 Premium and Claims'!N$13,'Pt 2 Premium and Claims'!N$14,'Pt 2 Premium and Claims'!N$16:'Pt 2 Premium and Claims'!N$17)</f>
        <v>0</v>
      </c>
      <c r="O5" s="111">
        <f>SUM('Pt 2 Premium and Claims'!O$5,'Pt 2 Premium and Claims'!O$6,-'Pt 2 Premium and Claims'!O$7,-'Pt 2 Premium and Claims'!O$13,'Pt 2 Premium and Claims'!O$14,'Pt 2 Premium and Claims'!O$16)</f>
        <v>0</v>
      </c>
      <c r="P5" s="111">
        <f>SUM('Pt 2 Premium and Claims'!P$5,'Pt 2 Premium and Claims'!P$6,-'Pt 2 Premium and Claims'!P$7,-'Pt 2 Premium and Claims'!P$13,'Pt 2 Premium and Claims'!P$14)</f>
        <v>0</v>
      </c>
      <c r="Q5" s="112">
        <f>SUM('Pt 2 Premium and Claims'!Q$5,'Pt 2 Premium and Claims'!Q$6,-'Pt 2 Premium and Claims'!Q$7,-'Pt 2 Premium and Claims'!Q$13,'Pt 2 Premium and Claims'!Q$14)</f>
        <v>0</v>
      </c>
      <c r="R5" s="112">
        <f>SUM('Pt 2 Premium and Claims'!R$5,'Pt 2 Premium and Claims'!R$6,-'Pt 2 Premium and Claims'!R$7,-'Pt 2 Premium and Claims'!R$13,'Pt 2 Premium and Claims'!R$14)</f>
        <v>0</v>
      </c>
      <c r="S5" s="112">
        <f>SUM('Pt 2 Premium and Claims'!S$5,'Pt 2 Premium and Claims'!S$6,-'Pt 2 Premium and Claims'!S$7,-'Pt 2 Premium and Claims'!S$13,'Pt 2 Premium and Claims'!S$14)</f>
        <v>0</v>
      </c>
      <c r="T5" s="112">
        <f>SUM('Pt 2 Premium and Claims'!T$5,'Pt 2 Premium and Claims'!T$6,-'Pt 2 Premium and Claims'!T$7,-'Pt 2 Premium and Claims'!T$13,'Pt 2 Premium and Claims'!T$14)</f>
        <v>0</v>
      </c>
      <c r="U5" s="111">
        <f>SUM('Pt 2 Premium and Claims'!U$5,'Pt 2 Premium and Claims'!U$6,-'Pt 2 Premium and Claims'!U$7,-'Pt 2 Premium and Claims'!U$13,'Pt 2 Premium and Claims'!U$14)</f>
        <v>0</v>
      </c>
      <c r="V5" s="112">
        <f>SUM('Pt 2 Premium and Claims'!V$5,'Pt 2 Premium and Claims'!V$6,-'Pt 2 Premium and Claims'!V$7,-'Pt 2 Premium and Claims'!V$13,'Pt 2 Premium and Claims'!V$14)</f>
        <v>0</v>
      </c>
      <c r="W5" s="112">
        <f>SUM('Pt 2 Premium and Claims'!W$5,'Pt 2 Premium and Claims'!W$6,-'Pt 2 Premium and Claims'!W$7,-'Pt 2 Premium and Claims'!W$13,'Pt 2 Premium and Claims'!W$14)</f>
        <v>0</v>
      </c>
      <c r="X5" s="111">
        <f>SUM('Pt 2 Premium and Claims'!X$5,'Pt 2 Premium and Claims'!X$6,-'Pt 2 Premium and Claims'!X$7,-'Pt 2 Premium and Claims'!X$13,'Pt 2 Premium and Claims'!X$14)</f>
        <v>0</v>
      </c>
      <c r="Y5" s="112">
        <f>SUM('Pt 2 Premium and Claims'!Y$5,'Pt 2 Premium and Claims'!Y$6,-'Pt 2 Premium and Claims'!Y$7,-'Pt 2 Premium and Claims'!Y$13,'Pt 2 Premium and Claims'!Y$14)</f>
        <v>0</v>
      </c>
      <c r="Z5" s="112">
        <f>SUM('Pt 2 Premium and Claims'!Z$5,'Pt 2 Premium and Claims'!Z$6,-'Pt 2 Premium and Claims'!Z$7,-'Pt 2 Premium and Claims'!Z$13,'Pt 2 Premium and Claims'!Z$14)</f>
        <v>0</v>
      </c>
      <c r="AA5" s="111">
        <f>SUM('Pt 2 Premium and Claims'!AA$5,'Pt 2 Premium and Claims'!AA$6,-'Pt 2 Premium and Claims'!AA$7,-'Pt 2 Premium and Claims'!AA$13,'Pt 2 Premium and Claims'!AA$14)</f>
        <v>0</v>
      </c>
      <c r="AB5" s="112">
        <f>SUM('Pt 2 Premium and Claims'!AB$5,'Pt 2 Premium and Claims'!AB$6,-'Pt 2 Premium and Claims'!AB$7,-'Pt 2 Premium and Claims'!AB$13,'Pt 2 Premium and Claims'!AB$14)</f>
        <v>0</v>
      </c>
      <c r="AC5" s="112">
        <f>SUM('Pt 2 Premium and Claims'!AC$5,'Pt 2 Premium and Claims'!AC$6,-'Pt 2 Premium and Claims'!AC$7,-'Pt 2 Premium and Claims'!AC$13,'Pt 2 Premium and Claims'!AC$14)</f>
        <v>0</v>
      </c>
      <c r="AD5" s="111"/>
      <c r="AE5" s="301"/>
      <c r="AF5" s="301"/>
      <c r="AG5" s="301"/>
      <c r="AH5" s="302"/>
      <c r="AI5" s="111"/>
      <c r="AJ5" s="301"/>
      <c r="AK5" s="301"/>
      <c r="AL5" s="301"/>
      <c r="AM5" s="302"/>
      <c r="AN5" s="111"/>
      <c r="AO5" s="112"/>
      <c r="AP5" s="112"/>
      <c r="AQ5" s="112"/>
      <c r="AR5" s="112"/>
      <c r="AS5" s="111">
        <f>SUM('Pt 2 Premium and Claims'!AS$5,'Pt 2 Premium and Claims'!AS$6,-'Pt 2 Premium and Claims'!AS$7,-'Pt 2 Premium and Claims'!AS$13,'Pt 2 Premium and Claims'!AS$14)</f>
        <v>17833143</v>
      </c>
      <c r="AT5" s="113">
        <f>SUM('Pt 2 Premium and Claims'!AT$5,'Pt 2 Premium and Claims'!AT$6,-'Pt 2 Premium and Claims'!AT$7,-'Pt 2 Premium and Claims'!AT$13,'Pt 2 Premium and Claims'!AT$14)</f>
        <v>1197361</v>
      </c>
      <c r="AU5" s="113">
        <f>SUM('Pt 2 Premium and Claims'!AU$5,'Pt 2 Premium and Claims'!AU$6,-'Pt 2 Premium and Claims'!AU$7,-'Pt 2 Premium and Claims'!AU$13,'Pt 2 Premium and Claims'!AU$14)</f>
        <v>0</v>
      </c>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5" x14ac:dyDescent="0.2">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v>34804</v>
      </c>
      <c r="AT8" s="119">
        <v>384</v>
      </c>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f>'Pt 2 Premium and Claims'!D$54</f>
        <v>0</v>
      </c>
      <c r="E12" s="112">
        <f>'Pt 2 Premium and Claims'!E$54</f>
        <v>0</v>
      </c>
      <c r="F12" s="112">
        <f>'Pt 2 Premium and Claims'!F$54</f>
        <v>0</v>
      </c>
      <c r="G12" s="112">
        <f>'Pt 2 Premium and Claims'!G$54</f>
        <v>0</v>
      </c>
      <c r="H12" s="112">
        <f>'Pt 2 Premium and Claims'!H$54</f>
        <v>0</v>
      </c>
      <c r="I12" s="111">
        <f>'Pt 2 Premium and Claims'!I$54</f>
        <v>0</v>
      </c>
      <c r="J12" s="111">
        <f>'Pt 2 Premium and Claims'!J$54</f>
        <v>0</v>
      </c>
      <c r="K12" s="112">
        <f>'Pt 2 Premium and Claims'!K$54</f>
        <v>0</v>
      </c>
      <c r="L12" s="112">
        <f>'Pt 2 Premium and Claims'!L$54</f>
        <v>0</v>
      </c>
      <c r="M12" s="112">
        <f>'Pt 2 Premium and Claims'!M$54</f>
        <v>0</v>
      </c>
      <c r="N12" s="112">
        <f>'Pt 2 Premium and Claims'!N$54</f>
        <v>0</v>
      </c>
      <c r="O12" s="111">
        <f>'Pt 2 Premium and Claims'!O$54</f>
        <v>0</v>
      </c>
      <c r="P12" s="111">
        <f>'Pt 2 Premium and Claims'!P$54</f>
        <v>0</v>
      </c>
      <c r="Q12" s="112">
        <f>'Pt 2 Premium and Claims'!Q$54</f>
        <v>0</v>
      </c>
      <c r="R12" s="112">
        <f>'Pt 2 Premium and Claims'!R$54</f>
        <v>0</v>
      </c>
      <c r="S12" s="112">
        <f>'Pt 2 Premium and Claims'!S$54</f>
        <v>0</v>
      </c>
      <c r="T12" s="112">
        <f>'Pt 2 Premium and Claims'!T$54</f>
        <v>0</v>
      </c>
      <c r="U12" s="111">
        <f>'Pt 2 Premium and Claims'!U$54</f>
        <v>0</v>
      </c>
      <c r="V12" s="112">
        <f>'Pt 2 Premium and Claims'!V$54</f>
        <v>0</v>
      </c>
      <c r="W12" s="112">
        <f>'Pt 2 Premium and Claims'!W$54</f>
        <v>0</v>
      </c>
      <c r="X12" s="111">
        <f>'Pt 2 Premium and Claims'!X$54</f>
        <v>0</v>
      </c>
      <c r="Y12" s="112">
        <f>'Pt 2 Premium and Claims'!Y$54</f>
        <v>0</v>
      </c>
      <c r="Z12" s="112">
        <f>'Pt 2 Premium and Claims'!Z$54</f>
        <v>0</v>
      </c>
      <c r="AA12" s="111">
        <f>'Pt 2 Premium and Claims'!AA$54</f>
        <v>0</v>
      </c>
      <c r="AB12" s="112">
        <f>'Pt 2 Premium and Claims'!AB$54</f>
        <v>0</v>
      </c>
      <c r="AC12" s="112">
        <f>'Pt 2 Premium and Claims'!AC$54</f>
        <v>0</v>
      </c>
      <c r="AD12" s="111"/>
      <c r="AE12" s="301"/>
      <c r="AF12" s="301"/>
      <c r="AG12" s="301"/>
      <c r="AH12" s="302"/>
      <c r="AI12" s="111"/>
      <c r="AJ12" s="301"/>
      <c r="AK12" s="301"/>
      <c r="AL12" s="301"/>
      <c r="AM12" s="302"/>
      <c r="AN12" s="111"/>
      <c r="AO12" s="112"/>
      <c r="AP12" s="112"/>
      <c r="AQ12" s="112"/>
      <c r="AR12" s="112"/>
      <c r="AS12" s="111">
        <f>'Pt 2 Premium and Claims'!AS$54</f>
        <v>13059107</v>
      </c>
      <c r="AT12" s="113">
        <f>'Pt 2 Premium and Claims'!AT$54</f>
        <v>772294</v>
      </c>
      <c r="AU12" s="113">
        <f>'Pt 2 Premium and Claims'!AU$54</f>
        <v>0</v>
      </c>
      <c r="AV12" s="318"/>
      <c r="AW12" s="323"/>
    </row>
    <row r="13" spans="1:49" ht="25.5" x14ac:dyDescent="0.2">
      <c r="B13" s="161" t="s">
        <v>230</v>
      </c>
      <c r="C13" s="68" t="s">
        <v>37</v>
      </c>
      <c r="D13" s="115"/>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v>12197216</v>
      </c>
      <c r="AT13" s="119">
        <v>58</v>
      </c>
      <c r="AU13" s="119"/>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v>3333911</v>
      </c>
      <c r="AT14" s="119">
        <v>1</v>
      </c>
      <c r="AU14" s="119"/>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v>580</v>
      </c>
      <c r="AT15" s="119">
        <v>39</v>
      </c>
      <c r="AU15" s="119"/>
      <c r="AV15" s="317"/>
      <c r="AW15" s="324"/>
    </row>
    <row r="16" spans="1:49" ht="25.5" x14ac:dyDescent="0.2">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v>-3331</v>
      </c>
      <c r="AT16" s="119">
        <v>-462</v>
      </c>
      <c r="AU16" s="119"/>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f>'Pt 2 Premium and Claims'!D$55</f>
        <v>0</v>
      </c>
      <c r="E22" s="121">
        <f>'Pt 2 Premium and Claims'!E$55</f>
        <v>0</v>
      </c>
      <c r="F22" s="121">
        <f>'Pt 2 Premium and Claims'!F$55</f>
        <v>0</v>
      </c>
      <c r="G22" s="121">
        <f>'Pt 2 Premium and Claims'!G$55</f>
        <v>0</v>
      </c>
      <c r="H22" s="121">
        <f>'Pt 2 Premium and Claims'!H$55</f>
        <v>0</v>
      </c>
      <c r="I22" s="120">
        <f>'Pt 2 Premium and Claims'!I$55</f>
        <v>0</v>
      </c>
      <c r="J22" s="120">
        <f>'Pt 2 Premium and Claims'!J$55</f>
        <v>0</v>
      </c>
      <c r="K22" s="121">
        <f>'Pt 2 Premium and Claims'!K$55</f>
        <v>0</v>
      </c>
      <c r="L22" s="121">
        <f>'Pt 2 Premium and Claims'!L$55</f>
        <v>0</v>
      </c>
      <c r="M22" s="121">
        <f>'Pt 2 Premium and Claims'!M$55</f>
        <v>0</v>
      </c>
      <c r="N22" s="121">
        <f>'Pt 2 Premium and Claims'!N$55</f>
        <v>0</v>
      </c>
      <c r="O22" s="120">
        <f>'Pt 2 Premium and Claims'!O$55</f>
        <v>0</v>
      </c>
      <c r="P22" s="120">
        <f>'Pt 2 Premium and Claims'!P$55</f>
        <v>0</v>
      </c>
      <c r="Q22" s="121">
        <f>'Pt 2 Premium and Claims'!Q$55</f>
        <v>0</v>
      </c>
      <c r="R22" s="121">
        <f>'Pt 2 Premium and Claims'!R$55</f>
        <v>0</v>
      </c>
      <c r="S22" s="121">
        <f>'Pt 2 Premium and Claims'!S$55</f>
        <v>0</v>
      </c>
      <c r="T22" s="121">
        <f>'Pt 2 Premium and Claims'!T$55</f>
        <v>0</v>
      </c>
      <c r="U22" s="120">
        <f>'Pt 2 Premium and Claims'!U$55</f>
        <v>0</v>
      </c>
      <c r="V22" s="121">
        <f>'Pt 2 Premium and Claims'!V$55</f>
        <v>0</v>
      </c>
      <c r="W22" s="121">
        <f>'Pt 2 Premium and Claims'!W$55</f>
        <v>0</v>
      </c>
      <c r="X22" s="120">
        <f>'Pt 2 Premium and Claims'!X$55</f>
        <v>0</v>
      </c>
      <c r="Y22" s="121">
        <f>'Pt 2 Premium and Claims'!Y$55</f>
        <v>0</v>
      </c>
      <c r="Z22" s="121">
        <f>'Pt 2 Premium and Claims'!Z$55</f>
        <v>0</v>
      </c>
      <c r="AA22" s="120">
        <f>'Pt 2 Premium and Claims'!AA$55</f>
        <v>0</v>
      </c>
      <c r="AB22" s="121">
        <f>'Pt 2 Premium and Claims'!AB$55</f>
        <v>0</v>
      </c>
      <c r="AC22" s="121">
        <f>'Pt 2 Premium and Claims'!AC$55</f>
        <v>0</v>
      </c>
      <c r="AD22" s="120"/>
      <c r="AE22" s="297"/>
      <c r="AF22" s="297"/>
      <c r="AG22" s="297"/>
      <c r="AH22" s="297"/>
      <c r="AI22" s="120"/>
      <c r="AJ22" s="297"/>
      <c r="AK22" s="297"/>
      <c r="AL22" s="297"/>
      <c r="AM22" s="297"/>
      <c r="AN22" s="120"/>
      <c r="AO22" s="121"/>
      <c r="AP22" s="121"/>
      <c r="AQ22" s="121"/>
      <c r="AR22" s="121"/>
      <c r="AS22" s="120">
        <f>'Pt 2 Premium and Claims'!AS$55</f>
        <v>0</v>
      </c>
      <c r="AT22" s="122">
        <f>'Pt 2 Premium and Claims'!AT$55</f>
        <v>0</v>
      </c>
      <c r="AU22" s="122">
        <f>'Pt 2 Premium and Claims'!AU$55</f>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v>518761.82020000002</v>
      </c>
      <c r="AT25" s="119">
        <v>5519.1902069999996</v>
      </c>
      <c r="AU25" s="119"/>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v>227810.86</v>
      </c>
      <c r="AT27" s="119">
        <v>2385.6800000000003</v>
      </c>
      <c r="AU27" s="119"/>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v>1750.3500000000001</v>
      </c>
      <c r="AT28" s="119">
        <v>215.81</v>
      </c>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v>40461.019779999981</v>
      </c>
      <c r="AT30" s="119">
        <v>883.93199560000016</v>
      </c>
      <c r="AU30" s="119"/>
      <c r="AV30" s="119"/>
      <c r="AW30" s="324"/>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v>23780.719999999998</v>
      </c>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v>15982.260000000002</v>
      </c>
      <c r="AT35" s="119">
        <v>1976.22</v>
      </c>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v>101310</v>
      </c>
      <c r="AT37" s="125">
        <v>20</v>
      </c>
      <c r="AU37" s="125"/>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v>39344</v>
      </c>
      <c r="AT38" s="119">
        <v>2</v>
      </c>
      <c r="AU38" s="119"/>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v>50878</v>
      </c>
      <c r="AT39" s="119">
        <v>579</v>
      </c>
      <c r="AU39" s="119"/>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v>14020</v>
      </c>
      <c r="AT40" s="119">
        <v>2547</v>
      </c>
      <c r="AU40" s="119"/>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v>132584</v>
      </c>
      <c r="AT41" s="119">
        <v>2436</v>
      </c>
      <c r="AU41" s="119"/>
      <c r="AV41" s="119"/>
      <c r="AW41" s="324"/>
    </row>
    <row r="42" spans="1:49" s="11" customFormat="1" ht="24.95" customHeight="1" x14ac:dyDescent="0.2">
      <c r="A42" s="41"/>
      <c r="B42" s="161" t="s">
        <v>259</v>
      </c>
      <c r="C42" s="68" t="s">
        <v>87</v>
      </c>
      <c r="D42" s="115"/>
      <c r="E42" s="116"/>
      <c r="F42" s="116"/>
      <c r="G42" s="116"/>
      <c r="H42" s="116"/>
      <c r="I42" s="115">
        <v>0</v>
      </c>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v>273950</v>
      </c>
      <c r="AT44" s="125">
        <v>3454</v>
      </c>
      <c r="AU44" s="125"/>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v>269153</v>
      </c>
      <c r="AT45" s="119">
        <v>19261</v>
      </c>
      <c r="AU45" s="119"/>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v>399054</v>
      </c>
      <c r="AT46" s="119">
        <v>28907</v>
      </c>
      <c r="AU46" s="119"/>
      <c r="AV46" s="119"/>
      <c r="AW46" s="324"/>
    </row>
    <row r="47" spans="1:49" x14ac:dyDescent="0.2">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v>127654</v>
      </c>
      <c r="AT47" s="119">
        <v>116335</v>
      </c>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v>91651.320220000023</v>
      </c>
      <c r="AT49" s="119">
        <v>8375.3180044000001</v>
      </c>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v>894.86000000000013</v>
      </c>
      <c r="AT50" s="119">
        <v>96.419999999999987</v>
      </c>
      <c r="AU50" s="119"/>
      <c r="AV50" s="119"/>
      <c r="AW50" s="324"/>
    </row>
    <row r="51" spans="2:49" x14ac:dyDescent="0.2">
      <c r="B51" s="161" t="s">
        <v>267</v>
      </c>
      <c r="C51" s="68"/>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v>1592868</v>
      </c>
      <c r="AT51" s="119">
        <v>202445</v>
      </c>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c r="E56" s="128"/>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v>18450</v>
      </c>
      <c r="AT56" s="129">
        <v>1426</v>
      </c>
      <c r="AU56" s="129"/>
      <c r="AV56" s="129"/>
      <c r="AW56" s="315"/>
    </row>
    <row r="57" spans="2:49" x14ac:dyDescent="0.2">
      <c r="B57" s="167" t="s">
        <v>273</v>
      </c>
      <c r="C57" s="68" t="s">
        <v>25</v>
      </c>
      <c r="D57" s="130"/>
      <c r="E57" s="131"/>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v>18979</v>
      </c>
      <c r="AT57" s="132">
        <v>3341</v>
      </c>
      <c r="AU57" s="132"/>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v>4</v>
      </c>
      <c r="AT58" s="132">
        <v>28</v>
      </c>
      <c r="AU58" s="132"/>
      <c r="AV58" s="132"/>
      <c r="AW58" s="316"/>
    </row>
    <row r="59" spans="2:49" x14ac:dyDescent="0.2">
      <c r="B59" s="167" t="s">
        <v>275</v>
      </c>
      <c r="C59" s="68" t="s">
        <v>27</v>
      </c>
      <c r="D59" s="130"/>
      <c r="E59" s="131"/>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v>215982</v>
      </c>
      <c r="AT59" s="132">
        <v>38279</v>
      </c>
      <c r="AU59" s="132"/>
      <c r="AV59" s="132"/>
      <c r="AW59" s="316"/>
    </row>
    <row r="60" spans="2:49" x14ac:dyDescent="0.2">
      <c r="B60" s="167" t="s">
        <v>276</v>
      </c>
      <c r="C60" s="68"/>
      <c r="D60" s="133">
        <f>D$59/12</f>
        <v>0</v>
      </c>
      <c r="E60" s="134">
        <f>E$59/12</f>
        <v>0</v>
      </c>
      <c r="F60" s="134">
        <f>F$59/12</f>
        <v>0</v>
      </c>
      <c r="G60" s="134">
        <f>G$59/12</f>
        <v>0</v>
      </c>
      <c r="H60" s="134">
        <f>H$59/12</f>
        <v>0</v>
      </c>
      <c r="I60" s="133">
        <f>I$59/12</f>
        <v>0</v>
      </c>
      <c r="J60" s="133">
        <f>J$59/12</f>
        <v>0</v>
      </c>
      <c r="K60" s="134">
        <f>K$59/12</f>
        <v>0</v>
      </c>
      <c r="L60" s="134">
        <f>L$59/12</f>
        <v>0</v>
      </c>
      <c r="M60" s="134">
        <f>M$59/12</f>
        <v>0</v>
      </c>
      <c r="N60" s="134">
        <f>N$59/12</f>
        <v>0</v>
      </c>
      <c r="O60" s="133">
        <f>O$59/12</f>
        <v>0</v>
      </c>
      <c r="P60" s="133">
        <f>P$59/12</f>
        <v>0</v>
      </c>
      <c r="Q60" s="134">
        <f>Q$59/12</f>
        <v>0</v>
      </c>
      <c r="R60" s="134">
        <f>R$59/12</f>
        <v>0</v>
      </c>
      <c r="S60" s="134">
        <f>S$59/12</f>
        <v>0</v>
      </c>
      <c r="T60" s="134">
        <f>T$59/12</f>
        <v>0</v>
      </c>
      <c r="U60" s="133">
        <f>U$59/12</f>
        <v>0</v>
      </c>
      <c r="V60" s="134">
        <f>V$59/12</f>
        <v>0</v>
      </c>
      <c r="W60" s="134">
        <f>W$59/12</f>
        <v>0</v>
      </c>
      <c r="X60" s="133">
        <f>X$59/12</f>
        <v>0</v>
      </c>
      <c r="Y60" s="134">
        <f>Y$59/12</f>
        <v>0</v>
      </c>
      <c r="Z60" s="134">
        <f>Z$59/12</f>
        <v>0</v>
      </c>
      <c r="AA60" s="133">
        <f>AA$59/12</f>
        <v>0</v>
      </c>
      <c r="AB60" s="134">
        <f>AB$59/12</f>
        <v>0</v>
      </c>
      <c r="AC60" s="134">
        <f>AC$59/12</f>
        <v>0</v>
      </c>
      <c r="AD60" s="133"/>
      <c r="AE60" s="310"/>
      <c r="AF60" s="310"/>
      <c r="AG60" s="310"/>
      <c r="AH60" s="311"/>
      <c r="AI60" s="133"/>
      <c r="AJ60" s="310"/>
      <c r="AK60" s="310"/>
      <c r="AL60" s="310"/>
      <c r="AM60" s="311"/>
      <c r="AN60" s="133"/>
      <c r="AO60" s="134"/>
      <c r="AP60" s="134"/>
      <c r="AQ60" s="134"/>
      <c r="AR60" s="134"/>
      <c r="AS60" s="133">
        <f>AS$59/12</f>
        <v>17998.5</v>
      </c>
      <c r="AT60" s="135">
        <f>AT$59/12</f>
        <v>3189.9166666666665</v>
      </c>
      <c r="AU60" s="135">
        <f>AU$59/12</f>
        <v>0</v>
      </c>
      <c r="AV60" s="135">
        <f>AV$59/12</f>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c r="E5" s="124"/>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v>17833143</v>
      </c>
      <c r="AT5" s="125">
        <v>1197361</v>
      </c>
      <c r="AU5" s="125"/>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c r="AU6" s="119"/>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v>-741982</v>
      </c>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v>-221724.00000000003</v>
      </c>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v>34804</v>
      </c>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v>384</v>
      </c>
      <c r="AU19" s="119"/>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v>14156041</v>
      </c>
      <c r="AT23" s="119">
        <v>758243</v>
      </c>
      <c r="AU23" s="119"/>
      <c r="AV23" s="317"/>
      <c r="AW23" s="324"/>
    </row>
    <row r="24" spans="2:49" ht="28.5" customHeight="1" x14ac:dyDescent="0.2">
      <c r="B24" s="184" t="s">
        <v>114</v>
      </c>
      <c r="C24" s="139"/>
      <c r="D24" s="299"/>
      <c r="E24" s="116"/>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v>784578</v>
      </c>
      <c r="AT26" s="119">
        <v>109893</v>
      </c>
      <c r="AU26" s="119"/>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v>964192</v>
      </c>
      <c r="AT28" s="119">
        <v>95840</v>
      </c>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c r="AU30" s="119"/>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v>71</v>
      </c>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v>-741982</v>
      </c>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v>-221724.00000000003</v>
      </c>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v>848235</v>
      </c>
      <c r="AT49" s="119">
        <v>-9</v>
      </c>
      <c r="AU49" s="119"/>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v>451102.00000000006</v>
      </c>
      <c r="AT50" s="119">
        <v>-11</v>
      </c>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f>D23+D26-D28+D30-D32+D34-D36+D38+D41-D43+D45+D46-D47-D49+D50+D51+D52+D53</f>
        <v>0</v>
      </c>
      <c r="E54" s="121">
        <f>E24+E27+E31+E35-E36+E39+E42+E45+E46-E49+E51+E52+E53</f>
        <v>0</v>
      </c>
      <c r="F54" s="121">
        <f>F24+F27+F31+F35-F36+F39+F42+F45+F46-F49+F51+F52+F53</f>
        <v>0</v>
      </c>
      <c r="G54" s="121">
        <f>G24+G27+G31+G35-G36+G39+G42+G45+G46-G49+G51+G52+G53</f>
        <v>0</v>
      </c>
      <c r="H54" s="121">
        <f>H24+H27+H31+H35-H36+H39+H42+H45+H46-H49+H51+H52+H53</f>
        <v>0</v>
      </c>
      <c r="I54" s="120">
        <f>I24+I27+I31+I35-I36+I39+I42+I45+I46-I49+I51+I52+I53</f>
        <v>0</v>
      </c>
      <c r="J54" s="120">
        <f>J23+J26-J28+J30-J32+J34-J36+J38+J41-J43+J45+J46-J47-J49+J50+J51+J52+J53</f>
        <v>0</v>
      </c>
      <c r="K54" s="121">
        <f>K24+K27+K31+K35-K36+K39+K42+K45+K46-K49+K51+K52+K53</f>
        <v>0</v>
      </c>
      <c r="L54" s="121">
        <f>L24+L27+L31+L35-L36+L39+L42+L45+L46-L49+L51+L52+L53</f>
        <v>0</v>
      </c>
      <c r="M54" s="121">
        <f>M24+M27+M31+M35-M36+M39+M42+M45+M46-M49+M51+M52+M53</f>
        <v>0</v>
      </c>
      <c r="N54" s="121">
        <f>N24+N27+N31+N35-N36+N39+N42+N45+N46-N49+N51+N52+N53</f>
        <v>0</v>
      </c>
      <c r="O54" s="120">
        <f>O24+O27+O31+O35-O36+O39+O42+O45+O46-O49+O51+O52+O53</f>
        <v>0</v>
      </c>
      <c r="P54" s="120">
        <f>P23+P26-P28+P30-P32+P34-P36+P38+P41-P43+P45+P46-P47-P49+P50+P51+P52+P53</f>
        <v>0</v>
      </c>
      <c r="Q54" s="121">
        <f>Q24+Q27+Q31+Q35-Q36+Q39+Q42+Q45+Q46-Q49+Q51+Q52+Q53</f>
        <v>0</v>
      </c>
      <c r="R54" s="121">
        <f>R24+R27+R31+R35-R36+R39+R42+R45+R46-R49+R51+R52+R53</f>
        <v>0</v>
      </c>
      <c r="S54" s="121">
        <f>S24+S27+S31+S35-S36+S39+S42+S45+S46-S49+S51+S52+S53</f>
        <v>0</v>
      </c>
      <c r="T54" s="121">
        <f>T24+T27+T31+T35-T36+T39+T42+T45+T46-T49+T51+T52+T53</f>
        <v>0</v>
      </c>
      <c r="U54" s="120">
        <f>U23+U26-U28+U30-U32+U34-U36+U38+U41-U43+U45+U46-U47-U49+U50+U51+U52+U53</f>
        <v>0</v>
      </c>
      <c r="V54" s="121">
        <f>V24+V27+V31+V35-V36+V39+V42+V45+V46-V49+V51+V52+V53</f>
        <v>0</v>
      </c>
      <c r="W54" s="121">
        <f>W24+W27+W31+W35-W36+W39+W42+W45+W46-W49+W51+W52+W53</f>
        <v>0</v>
      </c>
      <c r="X54" s="120">
        <f>X23+X26-X28+X30-X32+X34-X36+X38+X41-X43+X45+X46-X47-X49+X50+X51+X52+X53</f>
        <v>0</v>
      </c>
      <c r="Y54" s="121">
        <f>Y24+Y27+Y31+Y35-Y36+Y39+Y42+Y45+Y46-Y49+Y51+Y52+Y53</f>
        <v>0</v>
      </c>
      <c r="Z54" s="121">
        <f>Z24+Z27+Z31+Z35-Z36+Z39+Z42+Z45+Z46-Z49+Z51+Z52+Z53</f>
        <v>0</v>
      </c>
      <c r="AA54" s="120">
        <f>AA23+AA26-AA28+AA30-AA32+AA34-AA36+AA38+AA41-AA43+AA45+AA46-AA47-AA49+AA50+AA51+AA52+AA53</f>
        <v>0</v>
      </c>
      <c r="AB54" s="121">
        <f>AB24+AB27+AB31+AB35-AB36+AB39+AB42+AB45+AB46-AB49+AB51+AB52+AB53</f>
        <v>0</v>
      </c>
      <c r="AC54" s="121">
        <f>AC24+AC27+AC31+AC35-AC36+AC39+AC42+AC45+AC46-AC49+AC51+AC52+AC53</f>
        <v>0</v>
      </c>
      <c r="AD54" s="120"/>
      <c r="AE54" s="294"/>
      <c r="AF54" s="294"/>
      <c r="AG54" s="294"/>
      <c r="AH54" s="294"/>
      <c r="AI54" s="120"/>
      <c r="AJ54" s="294"/>
      <c r="AK54" s="294"/>
      <c r="AL54" s="294"/>
      <c r="AM54" s="294"/>
      <c r="AN54" s="120"/>
      <c r="AO54" s="121"/>
      <c r="AP54" s="121"/>
      <c r="AQ54" s="121"/>
      <c r="AR54" s="121"/>
      <c r="AS54" s="120">
        <f>AS23+AS26-AS28+AS30-AS32+AS34-AS36+AS38+AS41-AS43+AS45+AS46-AS47-AS49+AS50+AS51+AS52+AS53</f>
        <v>13059107</v>
      </c>
      <c r="AT54" s="122">
        <f>AT23+AT26-AT28+AT30-AT32+AT34-AT36+AT38+AT41-AT43+AT45+AT46-AT47-AT49+AT50+AT51+AT52+AT53</f>
        <v>772294</v>
      </c>
      <c r="AU54" s="122">
        <f>AU23+AU26-AU28+AU30-AU32+AU34-AU36+AU38+AU41-AU43+AU45+AU46-AU47-AU49+AU50+AU51+AU52+AU53</f>
        <v>0</v>
      </c>
      <c r="AV54" s="317"/>
      <c r="AW54" s="324"/>
    </row>
    <row r="55" spans="2:49" ht="25.5" x14ac:dyDescent="0.2">
      <c r="B55" s="187" t="s">
        <v>304</v>
      </c>
      <c r="C55" s="143" t="s">
        <v>28</v>
      </c>
      <c r="D55" s="120">
        <f>MIN(MAX(0,D56),MAX(0,D57))</f>
        <v>0</v>
      </c>
      <c r="E55" s="121">
        <f>MIN(MAX(0,E56),MAX(0,E57))</f>
        <v>0</v>
      </c>
      <c r="F55" s="121">
        <f>MIN(MAX(0,F56),MAX(0,F57))</f>
        <v>0</v>
      </c>
      <c r="G55" s="121">
        <f>MIN(MAX(0,G56),MAX(0,G57))</f>
        <v>0</v>
      </c>
      <c r="H55" s="121">
        <f>MIN(MAX(0,H56),MAX(0,H57))</f>
        <v>0</v>
      </c>
      <c r="I55" s="120">
        <f>MIN(MAX(0,I56),MAX(0,I57))</f>
        <v>0</v>
      </c>
      <c r="J55" s="120">
        <f>MIN(MAX(0,J56),MAX(0,J57))</f>
        <v>0</v>
      </c>
      <c r="K55" s="121">
        <f>MIN(MAX(0,K56),MAX(0,K57))</f>
        <v>0</v>
      </c>
      <c r="L55" s="121">
        <f>MIN(MAX(0,L56),MAX(0,L57))</f>
        <v>0</v>
      </c>
      <c r="M55" s="121">
        <f>MIN(MAX(0,M56),MAX(0,M57))</f>
        <v>0</v>
      </c>
      <c r="N55" s="121">
        <f>MIN(MAX(0,N56),MAX(0,N57))</f>
        <v>0</v>
      </c>
      <c r="O55" s="120">
        <f>MIN(MAX(0,O56),MAX(0,O57))</f>
        <v>0</v>
      </c>
      <c r="P55" s="120">
        <f>MIN(MAX(0,P56),MAX(0,P57))</f>
        <v>0</v>
      </c>
      <c r="Q55" s="121">
        <f>MIN(MAX(0,Q56),MAX(0,Q57))</f>
        <v>0</v>
      </c>
      <c r="R55" s="121">
        <f>MIN(MAX(0,R56),MAX(0,R57))</f>
        <v>0</v>
      </c>
      <c r="S55" s="121">
        <f>MIN(MAX(0,S56),MAX(0,S57))</f>
        <v>0</v>
      </c>
      <c r="T55" s="121">
        <f>MIN(MAX(0,T56),MAX(0,T57))</f>
        <v>0</v>
      </c>
      <c r="U55" s="120">
        <f>MIN(MAX(0,U56),MAX(0,U57))</f>
        <v>0</v>
      </c>
      <c r="V55" s="121">
        <f>MIN(MAX(0,V56),MAX(0,V57))</f>
        <v>0</v>
      </c>
      <c r="W55" s="121">
        <f>MIN(MAX(0,W56),MAX(0,W57))</f>
        <v>0</v>
      </c>
      <c r="X55" s="120">
        <f>MIN(MAX(0,X56),MAX(0,X57))</f>
        <v>0</v>
      </c>
      <c r="Y55" s="121">
        <f>MIN(MAX(0,Y56),MAX(0,Y57))</f>
        <v>0</v>
      </c>
      <c r="Z55" s="121">
        <f>MIN(MAX(0,Z56),MAX(0,Z57))</f>
        <v>0</v>
      </c>
      <c r="AA55" s="120">
        <f>MIN(MAX(0,AA56),MAX(0,AA57))</f>
        <v>0</v>
      </c>
      <c r="AB55" s="121">
        <f>MIN(MAX(0,AB56),MAX(0,AB57))</f>
        <v>0</v>
      </c>
      <c r="AC55" s="121">
        <f>MIN(MAX(0,AC56),MAX(0,AC57))</f>
        <v>0</v>
      </c>
      <c r="AD55" s="120"/>
      <c r="AE55" s="294"/>
      <c r="AF55" s="294"/>
      <c r="AG55" s="294"/>
      <c r="AH55" s="294"/>
      <c r="AI55" s="120"/>
      <c r="AJ55" s="294"/>
      <c r="AK55" s="294"/>
      <c r="AL55" s="294"/>
      <c r="AM55" s="294"/>
      <c r="AN55" s="120"/>
      <c r="AO55" s="121"/>
      <c r="AP55" s="121"/>
      <c r="AQ55" s="121"/>
      <c r="AR55" s="121"/>
      <c r="AS55" s="120">
        <f>MIN(MAX(0,AS56),MAX(0,AS57))</f>
        <v>0</v>
      </c>
      <c r="AT55" s="122">
        <f>MIN(MAX(0,AT56),MAX(0,AT57))</f>
        <v>0</v>
      </c>
      <c r="AU55" s="122">
        <f>MIN(MAX(0,AU56),MAX(0,AU57))</f>
        <v>0</v>
      </c>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v>248439</v>
      </c>
      <c r="AT57" s="119">
        <v>58</v>
      </c>
      <c r="AU57" s="119"/>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c r="D5" s="124"/>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c r="D6" s="116"/>
      <c r="E6" s="121">
        <f>SUM('Pt 1 Summary of Data'!E$12,'Pt 1 Summary of Data'!E$22)+SUM('Pt 1 Summary of Data'!G$12,'Pt 1 Summary of Data'!G$22)-SUM('Pt 1 Summary of Data'!H$12,'Pt 1 Summary of Data'!H$22)</f>
        <v>0</v>
      </c>
      <c r="F6" s="121">
        <f>SUM(C6:E6)</f>
        <v>0</v>
      </c>
      <c r="G6" s="122">
        <f>SUM('Pt 1 Summary of Data'!I$12,'Pt 1 Summary of Data'!I$22)</f>
        <v>0</v>
      </c>
      <c r="H6" s="115"/>
      <c r="I6" s="116"/>
      <c r="J6" s="121">
        <f>SUM('Pt 1 Summary of Data'!K$12,'Pt 1 Summary of Data'!K$22)+SUM('Pt 1 Summary of Data'!M$12,'Pt 1 Summary of Data'!M$22)-SUM('Pt 1 Summary of Data'!N$12,'Pt 1 Summary of Data'!N$22)</f>
        <v>0</v>
      </c>
      <c r="K6" s="121">
        <f>SUM(H6:J6)</f>
        <v>0</v>
      </c>
      <c r="L6" s="122">
        <f>SUM('Pt 1 Summary of Data'!O$12,'Pt 1 Summary of Data'!O$22)</f>
        <v>0</v>
      </c>
      <c r="M6" s="115"/>
      <c r="N6" s="116"/>
      <c r="O6" s="121">
        <f>SUM('Pt 1 Summary of Data'!Q$12,'Pt 1 Summary of Data'!Q$22)+SUM('Pt 1 Summary of Data'!S$12,'Pt 1 Summary of Data'!S$22)-SUM('Pt 1 Summary of Data'!T$12,'Pt 1 Summary of Data'!T$22)</f>
        <v>0</v>
      </c>
      <c r="P6" s="121">
        <f>SUM(M6:O6)</f>
        <v>0</v>
      </c>
      <c r="Q6" s="115"/>
      <c r="R6" s="116"/>
      <c r="S6" s="121">
        <f>SUM('Pt 1 Summary of Data'!V$12,'Pt 1 Summary of Data'!V$22)</f>
        <v>0</v>
      </c>
      <c r="T6" s="121">
        <f>SUM(Q6:S6)</f>
        <v>0</v>
      </c>
      <c r="U6" s="115"/>
      <c r="V6" s="116"/>
      <c r="W6" s="121">
        <f>SUM('Pt 1 Summary of Data'!Y$12,'Pt 1 Summary of Data'!Y$22)</f>
        <v>0</v>
      </c>
      <c r="X6" s="121">
        <f>SUM(U6:W6)</f>
        <v>0</v>
      </c>
      <c r="Y6" s="115"/>
      <c r="Z6" s="116"/>
      <c r="AA6" s="121">
        <f>SUM('Pt 1 Summary of Data'!AB$12,'Pt 1 Summary of Data'!AB$22)</f>
        <v>0</v>
      </c>
      <c r="AB6" s="121">
        <f>SUM(Y6:AA6)</f>
        <v>0</v>
      </c>
      <c r="AC6" s="298"/>
      <c r="AD6" s="294"/>
      <c r="AE6" s="294"/>
      <c r="AF6" s="294"/>
      <c r="AG6" s="298"/>
      <c r="AH6" s="294"/>
      <c r="AI6" s="294"/>
      <c r="AJ6" s="294"/>
      <c r="AK6" s="298"/>
      <c r="AL6" s="116"/>
      <c r="AM6" s="121"/>
      <c r="AN6" s="259"/>
    </row>
    <row r="7" spans="1:40" x14ac:dyDescent="0.2">
      <c r="B7" s="197" t="s">
        <v>312</v>
      </c>
      <c r="C7" s="115"/>
      <c r="D7" s="116"/>
      <c r="E7" s="121">
        <f>SUM('Pt 1 Summary of Data'!E$37:E$41)+SUM('Pt 1 Summary of Data'!G$37:G$41)-SUM('Pt 1 Summary of Data'!H$37:H$41)+MAX(0,MIN('Pt 1 Summary of Data'!E$42+'Pt 1 Summary of Data'!G$42-'Pt 1 Summary of Data'!H$42,0.3%*('Pt 1 Summary of Data'!E$5+'Pt 1 Summary of Data'!G$5-'Pt 1 Summary of Data'!H$5-SUM(E$9:E$11))))</f>
        <v>0</v>
      </c>
      <c r="F7" s="121">
        <f>SUM(C7:E7)</f>
        <v>0</v>
      </c>
      <c r="G7" s="122">
        <f>SUM('Pt 1 Summary of Data'!I$37:I$41)+MAX(0,MIN('Pt 1 Summary of Data'!I$42,0.3%*('Pt 1 Summary of Data'!I$5-SUM(G$9:G$10))))</f>
        <v>0</v>
      </c>
      <c r="H7" s="115"/>
      <c r="I7" s="116"/>
      <c r="J7" s="121">
        <f>SUM('Pt 1 Summary of Data'!K$37:K$41)+SUM('Pt 1 Summary of Data'!M$37:M$41)-SUM('Pt 1 Summary of Data'!N$37:N$41)+MAX(0,MIN('Pt 1 Summary of Data'!K$42+'Pt 1 Summary of Data'!M$42-'Pt 1 Summary of Data'!N$42,0.3%*('Pt 1 Summary of Data'!K$5+'Pt 1 Summary of Data'!M$5-'Pt 1 Summary of Data'!N$5-SUM(J$10:J$11))))</f>
        <v>0</v>
      </c>
      <c r="K7" s="121">
        <f>SUM(H7:J7)</f>
        <v>0</v>
      </c>
      <c r="L7" s="122">
        <f>SUM('Pt 1 Summary of Data'!O$37:O$41)+MAX(0,MIN('Pt 1 Summary of Data'!O$42,0.3%*('Pt 1 Summary of Data'!O$5-L$10)))</f>
        <v>0</v>
      </c>
      <c r="M7" s="115"/>
      <c r="N7" s="116"/>
      <c r="O7" s="121">
        <f>SUM('Pt 1 Summary of Data'!Q$37:Q$41)+SUM('Pt 1 Summary of Data'!S$37:S$41)-SUM('Pt 1 Summary of Data'!T$37:T$41)+MAX(0,MIN('Pt 1 Summary of Data'!Q$42+'Pt 1 Summary of Data'!S$42-'Pt 1 Summary of Data'!T$42,0.3%*('Pt 1 Summary of Data'!Q$5+'Pt 1 Summary of Data'!S$5-'Pt 1 Summary of Data'!T$5)))</f>
        <v>0</v>
      </c>
      <c r="P7" s="121">
        <f>SUM(M7:O7)</f>
        <v>0</v>
      </c>
      <c r="Q7" s="115"/>
      <c r="R7" s="116"/>
      <c r="S7" s="121">
        <f>SUM('Pt 1 Summary of Data'!V$37:V$41)+MAX(0,MIN('Pt 1 Summary of Data'!V$42,0.3%*'Pt 1 Summary of Data'!V$5))</f>
        <v>0</v>
      </c>
      <c r="T7" s="121">
        <f>SUM(Q7:S7)</f>
        <v>0</v>
      </c>
      <c r="U7" s="115"/>
      <c r="V7" s="116"/>
      <c r="W7" s="121">
        <f>SUM('Pt 1 Summary of Data'!Y$37:Y$41)+MAX(0,MIN('Pt 1 Summary of Data'!Y$42,0.3%*'Pt 1 Summary of Data'!Y$5))</f>
        <v>0</v>
      </c>
      <c r="X7" s="121">
        <f>SUM(U7:W7)</f>
        <v>0</v>
      </c>
      <c r="Y7" s="115"/>
      <c r="Z7" s="116"/>
      <c r="AA7" s="121">
        <f>SUM('Pt 1 Summary of Data'!AB$37:AB$41)+MAX(0,MIN('Pt 1 Summary of Data'!AB$42,0.3%*'Pt 1 Summary of Data'!AB$5))</f>
        <v>0</v>
      </c>
      <c r="AB7" s="121">
        <f>SUM(Y7:AA7)</f>
        <v>0</v>
      </c>
      <c r="AC7" s="298"/>
      <c r="AD7" s="294"/>
      <c r="AE7" s="294"/>
      <c r="AF7" s="294"/>
      <c r="AG7" s="298"/>
      <c r="AH7" s="294"/>
      <c r="AI7" s="294"/>
      <c r="AJ7" s="294"/>
      <c r="AK7" s="298"/>
      <c r="AL7" s="116"/>
      <c r="AM7" s="121"/>
      <c r="AN7" s="259"/>
    </row>
    <row r="8" spans="1:40" x14ac:dyDescent="0.2">
      <c r="B8" s="197" t="s">
        <v>483</v>
      </c>
      <c r="C8" s="299"/>
      <c r="D8" s="295"/>
      <c r="E8" s="275"/>
      <c r="F8" s="275">
        <f>SUM(C8:E8)</f>
        <v>0</v>
      </c>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f>'Pt 2 Premium and Claims'!E$15+'Pt 2 Premium and Claims'!G$15-'Pt 2 Premium and Claims'!H$15</f>
        <v>0</v>
      </c>
      <c r="F9" s="121">
        <f>SUM(C9:E9)</f>
        <v>0</v>
      </c>
      <c r="G9" s="122">
        <f>'Pt 2 Premium and Claims'!I$15</f>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f>'Pt 2 Premium and Claims'!E$16+'Pt 2 Premium and Claims'!G$16-'Pt 2 Premium and Claims'!H$16</f>
        <v>0</v>
      </c>
      <c r="F10" s="121">
        <f>SUM(C10:E10)</f>
        <v>0</v>
      </c>
      <c r="G10" s="122">
        <f>'Pt 2 Premium and Claims'!I$16</f>
        <v>0</v>
      </c>
      <c r="H10" s="298"/>
      <c r="I10" s="294"/>
      <c r="J10" s="121">
        <f>'Pt 2 Premium and Claims'!K$16+'Pt 2 Premium and Claims'!M$16-'Pt 2 Premium and Claims'!N$16</f>
        <v>0</v>
      </c>
      <c r="K10" s="121">
        <f>SUM(H10:J10)</f>
        <v>0</v>
      </c>
      <c r="L10" s="122">
        <f>'Pt 2 Premium and Claims'!O$16</f>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f>'Pt 2 Premium and Claims'!E$17+'Pt 2 Premium and Claims'!G$17-'Pt 2 Premium and Claims'!H$17</f>
        <v>0</v>
      </c>
      <c r="F11" s="121">
        <f>SUM(C11:E11)</f>
        <v>0</v>
      </c>
      <c r="G11" s="320"/>
      <c r="H11" s="298"/>
      <c r="I11" s="294"/>
      <c r="J11" s="121">
        <f>'Pt 2 Premium and Claims'!K$17+'Pt 2 Premium and Claims'!M$17-'Pt 2 Premium and Claims'!N$17</f>
        <v>0</v>
      </c>
      <c r="K11" s="121">
        <f>SUM(H11:J11)</f>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f>SUM(C$6:C$7)+IF(AND(OR('Company Information'!$C$12="District of Columbia",'Company Information'!$C$12="Massachusetts",'Company Information'!$C$12="Vermont"),SUM($C$6:$F$11,$C$15:$F$16,$C$37:$D$37)&lt;&gt;0),SUM(H$6:H$7),0)</f>
        <v>0</v>
      </c>
      <c r="D12" s="121">
        <f>SUM(D$6:D$7)+IF(AND(OR('Company Information'!$C$12="District of Columbia",'Company Information'!$C$12="Massachusetts",'Company Information'!$C$12="Vermont"),SUM($C$6:$F$11,$C$15:$F$16,$C$37:$D$37)&lt;&gt;0),SUM(I$6:I$7),0)</f>
        <v>0</v>
      </c>
      <c r="E12" s="121">
        <f>SUM(E$6:E$7)-SUM(E$8:E$11)+IF(AND(OR('Company Information'!$C$12="District of Columbia",'Company Information'!$C$12="Massachusetts",'Company Information'!$C$12="Vermont"),SUM($C$6:$F$11,$C$15:$F$16,$C$37:$D$37)&lt;&gt;0),SUM(J$6:J$7)-SUM(J$10:J$11),0)</f>
        <v>0</v>
      </c>
      <c r="F12" s="121">
        <f>IFERROR(SUM(C$12:E$12)+C$17*MAX(0,E$49-C$49)+D$17*MAX(0,E$49-D$49),0)</f>
        <v>0</v>
      </c>
      <c r="G12" s="317"/>
      <c r="H12" s="120">
        <f>SUM(H$6:H$7)+IF(AND(OR('Company Information'!$C$12="District of Columbia",'Company Information'!$C$12="Massachusetts",'Company Information'!$C$12="Vermont"),SUM($H$6:$K$11,$H$15:$K$16,$H$37:$I$37)&lt;&gt;0),SUM(C$6:C$7),0)</f>
        <v>0</v>
      </c>
      <c r="I12" s="121">
        <f>SUM(I$6:I$7)+IF(AND(OR('Company Information'!$C$12="District of Columbia",'Company Information'!$C$12="Massachusetts",'Company Information'!$C$12="Vermont"),SUM($H$6:$K$11,$H$15:$K$16,$H$37:$I$37)&lt;&gt;0),SUM(D$6:D$7),0)</f>
        <v>0</v>
      </c>
      <c r="J12" s="121">
        <f>SUM(J$6:J$7)-SUM(J$10:J$11)+IF(AND(OR('Company Information'!$C$12="District of Columbia",'Company Information'!$C$12="Massachusetts",'Company Information'!$C$12="Vermont"),SUM($H$6:$K$11,$H$15:$K$16,$H$37:$I$37)&lt;&gt;0),SUM(E$6:E$7)-SUM(E$8:E$11),0)</f>
        <v>0</v>
      </c>
      <c r="K12" s="121">
        <f>IFERROR(SUM(H$12:J$12)+H$17*MAX(0,J$49-H$49)+I$17*MAX(0,J$49-I$49),0)</f>
        <v>0</v>
      </c>
      <c r="L12" s="317"/>
      <c r="M12" s="120">
        <f>SUM(M$6:M$7)</f>
        <v>0</v>
      </c>
      <c r="N12" s="121">
        <f>SUM(N$6:N$7)</f>
        <v>0</v>
      </c>
      <c r="O12" s="121">
        <f>SUM(O$6:O$7)</f>
        <v>0</v>
      </c>
      <c r="P12" s="121">
        <f>SUM(M$12:O$12)+M$17*MAX(0,O$49-M$49)+N$17*MAX(0,O$49-N$49)</f>
        <v>0</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f>1.75*(SUM(Q$6:Q$7)+IF(AND(OR('Company Information'!$C$12="District of Columbia",'Company Information'!$C$12="Massachusetts",'Company Information'!$C$12="Vermont"),SUM($Q$6:$T$7,$Q$15:$T$16,$Q$37:$R$37)&lt;&gt;0),SUM(U$6:U$7),0))</f>
        <v>0</v>
      </c>
      <c r="R13" s="121">
        <f>1.5*(SUM(R$6:R$7)+IF(AND(OR('Company Information'!$C$12="District of Columbia",'Company Information'!$C$12="Massachusetts",'Company Information'!$C$12="Vermont"),SUM($Q$6:$T$7,$Q$15:$T$16,$Q$37:$R$37)&lt;&gt;0),SUM(V$6:V$7),0))</f>
        <v>0</v>
      </c>
      <c r="S13" s="121">
        <f>1.25*(SUM(S$6:S$7)+IF(AND(OR('Company Information'!$C$12="District of Columbia",'Company Information'!$C$12="Massachusetts",'Company Information'!$C$12="Vermont"),SUM($Q$6:$T$7,$Q$15:$T$16,$Q$37:$R$37)&lt;&gt;0),SUM(W$6:W$7),0))</f>
        <v>0</v>
      </c>
      <c r="T13" s="121">
        <f>IFERROR(1.25*(SUM(T$6:T$7)+Q$17*MAX(0,S$49-Q$49)+R$17*MAX(0,S$49-R$49)+IF(AND(OR('Company Information'!$C$12="District of Columbia",'Company Information'!$C$12="Massachusetts",'Company Information'!$C$12="Vermont"),SUM($Q$6:$T$7,$Q$15:$T$16,$Q$37:$R$37)&lt;&gt;0),SUM(X$6:X$7),0)),0)</f>
        <v>0</v>
      </c>
      <c r="U13" s="120">
        <f>1.75*(SUM(U$6:U$7)+IF(AND(OR('Company Information'!$C$12="District of Columbia",'Company Information'!$C$12="Massachusetts",'Company Information'!$C$12="Vermont"),SUM($U$6:$X$7,$U$15:$X$16,$U$37:$V$37)&lt;&gt;0),SUM(Q$6:Q$7),0))</f>
        <v>0</v>
      </c>
      <c r="V13" s="121">
        <f>1.5*(SUM(V$6:V$7)+IF(AND(OR('Company Information'!$C$12="District of Columbia",'Company Information'!$C$12="Massachusetts",'Company Information'!$C$12="Vermont"),SUM($U$6:$X$7,$U$15:$X$16,$U$37:$V$37)&lt;&gt;0),SUM(R$6:R$7),0))</f>
        <v>0</v>
      </c>
      <c r="W13" s="121">
        <f>1.25*(SUM(W$6:W$7)+IF(AND(OR('Company Information'!$C$12="District of Columbia",'Company Information'!$C$12="Massachusetts",'Company Information'!$C$12="Vermont"),SUM($U$6:$X$7,$U$15:$X$16,$U$37:$V$37)&lt;&gt;0),SUM(S$6:S$7),0))</f>
        <v>0</v>
      </c>
      <c r="X13" s="121">
        <f>IFERROR(1.25*(SUM(X$6:X$7)+U$17*MAX(0,W$49-U$49)+V$17*MAX(0,W$49-V$49)+IF(AND(OR('Company Information'!$C$12="District of Columbia",'Company Information'!$C$12="Massachusetts",'Company Information'!$C$12="Vermont"),SUM($U$6:$X$7,$U$15:$X$16,$U$37:$V$37)&lt;&gt;0),SUM(T$6:T$7),0)),0)</f>
        <v>0</v>
      </c>
      <c r="Y13" s="120">
        <f>1.75*SUM(Y$6:Y$7)</f>
        <v>0</v>
      </c>
      <c r="Z13" s="121">
        <f>1.5*SUM(Z$6:Z$7)</f>
        <v>0</v>
      </c>
      <c r="AA13" s="121">
        <f>1.25*SUM(AA$6:AA$7)</f>
        <v>0</v>
      </c>
      <c r="AB13" s="121">
        <f>1.25*(SUM(AB$6:AB$7)+Y$17*MAX(0,AA$49-Y$49)+Z$17*MAX(0,AA$49-Z$49))</f>
        <v>0</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c r="D15" s="124"/>
      <c r="E15" s="112">
        <f>SUM('Pt 1 Summary of Data'!E$5:E$7)+SUM('Pt 1 Summary of Data'!G$5:G$7)-SUM('Pt 1 Summary of Data'!H$5:H$7)-SUM(E$9:E$11)+D$55</f>
        <v>0</v>
      </c>
      <c r="F15" s="112">
        <f>SUM(C15:E15)</f>
        <v>0</v>
      </c>
      <c r="G15" s="113">
        <f>SUM('Pt 1 Summary of Data'!I$5:I$7)-SUM(G$9:G$10)</f>
        <v>0</v>
      </c>
      <c r="H15" s="123"/>
      <c r="I15" s="124"/>
      <c r="J15" s="112">
        <f>SUM('Pt 1 Summary of Data'!K$5:K$7)+SUM('Pt 1 Summary of Data'!M$5:M$7)-SUM('Pt 1 Summary of Data'!N$5:N$7)-SUM(J$10:J$11)+I$55</f>
        <v>0</v>
      </c>
      <c r="K15" s="112">
        <f>SUM(H15:J15)</f>
        <v>0</v>
      </c>
      <c r="L15" s="113">
        <f>SUM('Pt 1 Summary of Data'!O$5:O$7)-L$10</f>
        <v>0</v>
      </c>
      <c r="M15" s="123"/>
      <c r="N15" s="124"/>
      <c r="O15" s="112">
        <f>SUM('Pt 1 Summary of Data'!Q$5:Q$7)+SUM('Pt 1 Summary of Data'!S$5:S$7)-SUM('Pt 1 Summary of Data'!T$5:T$7)+N$55</f>
        <v>0</v>
      </c>
      <c r="P15" s="112">
        <f>SUM(M15:O15)</f>
        <v>0</v>
      </c>
      <c r="Q15" s="123"/>
      <c r="R15" s="124"/>
      <c r="S15" s="112">
        <f>SUM('Pt 1 Summary of Data'!V$5:V$7)+R$55</f>
        <v>0</v>
      </c>
      <c r="T15" s="112">
        <f>SUM(Q15:S15)</f>
        <v>0</v>
      </c>
      <c r="U15" s="123"/>
      <c r="V15" s="124"/>
      <c r="W15" s="112">
        <f>SUM('Pt 1 Summary of Data'!Y$5:Y$7)+V$55</f>
        <v>0</v>
      </c>
      <c r="X15" s="112">
        <f>SUM(U15:W15)</f>
        <v>0</v>
      </c>
      <c r="Y15" s="123"/>
      <c r="Z15" s="124"/>
      <c r="AA15" s="112">
        <f>SUM('Pt 1 Summary of Data'!AB$5:AB$7)+Z$55</f>
        <v>0</v>
      </c>
      <c r="AB15" s="112">
        <f>SUM(Y15:AA15)</f>
        <v>0</v>
      </c>
      <c r="AC15" s="353"/>
      <c r="AD15" s="352"/>
      <c r="AE15" s="352"/>
      <c r="AF15" s="352"/>
      <c r="AG15" s="353"/>
      <c r="AH15" s="352"/>
      <c r="AI15" s="352"/>
      <c r="AJ15" s="352"/>
      <c r="AK15" s="353"/>
      <c r="AL15" s="124"/>
      <c r="AM15" s="112"/>
      <c r="AN15" s="260"/>
    </row>
    <row r="16" spans="1:40" x14ac:dyDescent="0.2">
      <c r="B16" s="197" t="s">
        <v>313</v>
      </c>
      <c r="C16" s="115"/>
      <c r="D16" s="116"/>
      <c r="E16" s="121">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Data'!H$31:H$32))+D$56</f>
        <v>0</v>
      </c>
      <c r="F16" s="121">
        <f>SUM(C16:E16)</f>
        <v>0</v>
      </c>
      <c r="G16" s="122">
        <f>SUM('Pt 1 Summary of Data'!I$25:I$28,'Pt 1 Summary of Data'!I$30,'Pt 1 Summary of Data'!I$34:I$35)+IF('Company Information'!$C$15="No",IF(MAX('Pt 1 Summary of Data'!I$31:I$32)=0,MIN('Pt 1 Summary of Data'!I$31:I$32),MAX('Pt 1 Summary of Data'!I$31:I$32)),SUM('Pt 1 Summary of Data'!I$31:I$32))</f>
        <v>0</v>
      </c>
      <c r="H16" s="115"/>
      <c r="I16" s="116"/>
      <c r="J16" s="121">
        <f>SUM('Pt 1 Summary of Data'!K$25:K$28,'Pt 1 Summary of Data'!K$30,'Pt 1 Summary of Data'!K$34:K$35)+SUM('Pt 1 Summary of Data'!M$25:M$28,'Pt 1 Summary of Data'!M$30,'Pt 1 Summary of Data'!M$34:M$35)-SUM('Pt 1 Summary of Data'!N$25:N$28,'Pt 1 Summary of Data'!N$30,'Pt 1 Summary of Data'!N$34:N$35)+IF('Company Information'!$C$15="No",IF(MAX('Pt 1 Summary of Data'!K$31:K$32)=0,MIN('Pt 1 Summary of Data'!K$31:K$32),MAX('Pt 1 Summary of Data'!K$31:K$32))+IF(MAX('Pt 1 Summary of Data'!M$31:M$32)=0,MIN('Pt 1 Summary of Data'!M$31:M$32),MAX('Pt 1 Summary of Data'!M$31:M$32))-IF(MAX('Pt 1 Summary of Data'!N$31:N$32)=0,MIN('Pt 1 Summary of Data'!N$31:N$32),MAX('Pt 1 Summary of Data'!N$31:N$32)),SUM('Pt 1 Summary of Data'!K$31:K$32)+SUM('Pt 1 Summary of Data'!M$31:M$32)-SUM('Pt 1 Summary of Data'!N$31:N$32))+I$56</f>
        <v>0</v>
      </c>
      <c r="K16" s="121">
        <f>SUM(H16:J16)</f>
        <v>0</v>
      </c>
      <c r="L16" s="122">
        <f>SUM('Pt 1 Summary of Data'!O$25:O$28,'Pt 1 Summary of Data'!O$30,'Pt 1 Summary of Data'!O$34:O$35)+IF('Company Information'!$C$15="No",IF(MAX('Pt 1 Summary of Data'!O$31:O$32)=0,MIN('Pt 1 Summary of Data'!O$31:O$32),MAX('Pt 1 Summary of Data'!O$31:O$32)),SUM('Pt 1 Summary of Data'!O$31:O$32))</f>
        <v>0</v>
      </c>
      <c r="M16" s="115"/>
      <c r="N16" s="116"/>
      <c r="O16" s="121">
        <f>SUM('Pt 1 Summary of Data'!Q$25:Q$28,'Pt 1 Summary of Data'!Q$30,'Pt 1 Summary of Data'!Q$34:Q$35)+SUM('Pt 1 Summary of Data'!S$25:S$28,'Pt 1 Summary of Data'!S$30,'Pt 1 Summary of Data'!S$34:S$35)-SUM('Pt 1 Summary of Data'!T$25:T$28,'Pt 1 Summary of Data'!T$30,'Pt 1 Summary of Data'!T$34:T$35)+IF('Company Information'!$C$15="No",IF(MAX('Pt 1 Summary of Data'!Q$31:Q$32)=0,MIN('Pt 1 Summary of Data'!Q$31:Q$32),MAX('Pt 1 Summary of Data'!Q$31:Q$32))+IF(MAX('Pt 1 Summary of Data'!S$31:S$32)=0,MIN('Pt 1 Summary of Data'!S$31:S$32),MAX('Pt 1 Summary of Data'!S$31:S$32))-IF(MAX('Pt 1 Summary of Data'!T$31:T$32)=0,MIN('Pt 1 Summary of Data'!T$31:T$32),MAX('Pt 1 Summary of Data'!T$31:T$32)),SUM('Pt 1 Summary of Data'!Q$31:Q$32)+SUM('Pt 1 Summary of Data'!S$31:S$32)-SUM('Pt 1 Summary of Data'!T$31:T$32))+N$56</f>
        <v>0</v>
      </c>
      <c r="P16" s="121">
        <f>SUM(M16:O16)</f>
        <v>0</v>
      </c>
      <c r="Q16" s="115"/>
      <c r="R16" s="116"/>
      <c r="S16" s="121">
        <f>SUM('Pt 1 Summary of Data'!V$25:V$28,'Pt 1 Summary of Data'!V$30,'Pt 1 Summary of Data'!V$34:V$35)+IF('Company Information'!$C$15="No",IF(MAX('Pt 1 Summary of Data'!V$31:V$32)=0,MIN('Pt 1 Summary of Data'!V$31:V$32),MAX('Pt 1 Summary of Data'!V$31:V$32)),SUM('Pt 1 Summary of Data'!V$31:V$32))+R$56</f>
        <v>0</v>
      </c>
      <c r="T16" s="121">
        <f>SUM(Q16:S16)</f>
        <v>0</v>
      </c>
      <c r="U16" s="115"/>
      <c r="V16" s="116"/>
      <c r="W16" s="121">
        <f>SUM('Pt 1 Summary of Data'!Y$25:Y$28,'Pt 1 Summary of Data'!Y$30,'Pt 1 Summary of Data'!Y$34:Y$35)+IF('Company Information'!$C$15="No",IF(MAX('Pt 1 Summary of Data'!Y$31:Y$32)=0,MIN('Pt 1 Summary of Data'!Y$31:Y$32),MAX('Pt 1 Summary of Data'!Y$31:Y$32)),SUM('Pt 1 Summary of Data'!Y$31:Y$32))+V$56</f>
        <v>0</v>
      </c>
      <c r="X16" s="121">
        <f>SUM(U16:W16)</f>
        <v>0</v>
      </c>
      <c r="Y16" s="115"/>
      <c r="Z16" s="116"/>
      <c r="AA16" s="121">
        <f>SUM('Pt 1 Summary of Data'!AB$25:AB$28,'Pt 1 Summary of Data'!AB$30,'Pt 1 Summary of Data'!AB$34:AB$35)+IF('Company Information'!$C$15="No",IF(MAX('Pt 1 Summary of Data'!AB$31:AB$32)=0,MIN('Pt 1 Summary of Data'!AB$31:AB$32),MAX('Pt 1 Summary of Data'!AB$31:AB$32)),SUM('Pt 1 Summary of Data'!AB$31:AB$32))+Z$56</f>
        <v>0</v>
      </c>
      <c r="AB16" s="121">
        <f>SUM(Y16:AA16)</f>
        <v>0</v>
      </c>
      <c r="AC16" s="298"/>
      <c r="AD16" s="294"/>
      <c r="AE16" s="294"/>
      <c r="AF16" s="294"/>
      <c r="AG16" s="298"/>
      <c r="AH16" s="294"/>
      <c r="AI16" s="294"/>
      <c r="AJ16" s="294"/>
      <c r="AK16" s="298"/>
      <c r="AL16" s="116"/>
      <c r="AM16" s="121"/>
      <c r="AN16" s="259"/>
    </row>
    <row r="17" spans="1:40" s="82" customFormat="1" x14ac:dyDescent="0.2">
      <c r="A17" s="149"/>
      <c r="B17" s="198" t="s">
        <v>320</v>
      </c>
      <c r="C17" s="120">
        <f>C$15-C$16+IF(AND(OR('Company Information'!$C$12="District of Columbia",'Company Information'!$C$12="Massachusetts",'Company Information'!$C$12="Vermont"),SUM($C$6:$F$11,$C$15:$F$16,$C$37:$D$37)&lt;&gt;0),H$15-H$16,0)</f>
        <v>0</v>
      </c>
      <c r="D17" s="121">
        <f>D$15-D$16+IF(AND(OR('Company Information'!$C$12="District of Columbia",'Company Information'!$C$12="Massachusetts",'Company Information'!$C$12="Vermont"),SUM($C$6:$F$11,$C$15:$F$16,$C$37:$D$37)&lt;&gt;0),I$15-I$16,0)</f>
        <v>0</v>
      </c>
      <c r="E17" s="121">
        <f>E$15-E$16+IF(AND(OR('Company Information'!$C$12="District of Columbia",'Company Information'!$C$12="Massachusetts",'Company Information'!$C$12="Vermont"),SUM($C$6:$F$11,$C$15:$F$16,$C$37:$D$37)&lt;&gt;0),J$15-J$16,0)</f>
        <v>0</v>
      </c>
      <c r="F17" s="121">
        <f>F$15-F$16+IF(AND(OR('Company Information'!$C$12="District of Columbia",'Company Information'!$C$12="Massachusetts",'Company Information'!$C$12="Vermont"),SUM($C$6:$F$11,$C$15:$F$16,$C$37:$D$37)&lt;&gt;0),K$15-K$16,0)</f>
        <v>0</v>
      </c>
      <c r="G17" s="320"/>
      <c r="H17" s="120">
        <f>H$15-H$16+IF(AND(OR('Company Information'!$C$12="District of Columbia",'Company Information'!$C$12="Massachusetts",'Company Information'!$C$12="Vermont"),SUM($H$6:$K$11,$H$15:$K$16,$H$37:$I$37)&lt;&gt;0),C$15-C$16,0)</f>
        <v>0</v>
      </c>
      <c r="I17" s="121">
        <f>I$15-I$16+IF(AND(OR('Company Information'!$C$12="District of Columbia",'Company Information'!$C$12="Massachusetts",'Company Information'!$C$12="Vermont"),SUM($H$6:$K$11,$H$15:$K$16,$H$37:$I$37)&lt;&gt;0),D$15-D$16,0)</f>
        <v>0</v>
      </c>
      <c r="J17" s="121">
        <f>J$15-J$16+IF(AND(OR('Company Information'!$C$12="District of Columbia",'Company Information'!$C$12="Massachusetts",'Company Information'!$C$12="Vermont"),SUM($H$6:$K$11,$H$15:$K$16,$H$37:$I$37)&lt;&gt;0),E$15-E$16,0)</f>
        <v>0</v>
      </c>
      <c r="K17" s="121">
        <f>K$15-K$16+IF(AND(OR('Company Information'!$C$12="District of Columbia",'Company Information'!$C$12="Massachusetts",'Company Information'!$C$12="Vermont"),SUM($H$6:$K$11,$H$15:$K$16,$H$37:$I$37)&lt;&gt;0),F$15-F$16,0)</f>
        <v>0</v>
      </c>
      <c r="L17" s="320"/>
      <c r="M17" s="120">
        <f>M$15-M$16</f>
        <v>0</v>
      </c>
      <c r="N17" s="121">
        <f>N$15-N$16</f>
        <v>0</v>
      </c>
      <c r="O17" s="121">
        <f>O$15-O$16</f>
        <v>0</v>
      </c>
      <c r="P17" s="121">
        <f>P$15-P$16</f>
        <v>0</v>
      </c>
      <c r="Q17" s="120">
        <f>Q$15-Q$16+IF(AND(OR('Company Information'!$C$12="District of Columbia",'Company Information'!$C$12="Massachusetts",'Company Information'!$C$12="Vermont"),SUM($Q$6:$T$7,$Q$15:$T$16,$Q$37:$R$37)&lt;&gt;0),U$15-U$16,0)</f>
        <v>0</v>
      </c>
      <c r="R17" s="121">
        <f>R$15-R$16+IF(AND(OR('Company Information'!$C$12="District of Columbia",'Company Information'!$C$12="Massachusetts",'Company Information'!$C$12="Vermont"),SUM($Q$6:$T$7,$Q$15:$T$16,$Q$37:$R$37)&lt;&gt;0),V$15-V$16,0)</f>
        <v>0</v>
      </c>
      <c r="S17" s="121">
        <f>S$15-S$16+IF(AND(OR('Company Information'!$C$12="District of Columbia",'Company Information'!$C$12="Massachusetts",'Company Information'!$C$12="Vermont"),SUM($Q$6:$T$7,$Q$15:$T$16,$Q$37:$R$37)&lt;&gt;0),W$15-W$16,0)</f>
        <v>0</v>
      </c>
      <c r="T17" s="121">
        <f>T$15-T$16+IF(AND(OR('Company Information'!$C$12="District of Columbia",'Company Information'!$C$12="Massachusetts",'Company Information'!$C$12="Vermont"),SUM($Q$6:$T$7,$Q$15:$T$16,$Q$37:$R$37)&lt;&gt;0),X$15-X$16,0)</f>
        <v>0</v>
      </c>
      <c r="U17" s="120">
        <f>U$15-U$16+IF(AND(OR('Company Information'!$C$12="District of Columbia",'Company Information'!$C$12="Massachusetts",'Company Information'!$C$12="Vermont"),SUM($U$6:$X$7,$U$15:$X$16,$U$37:$V$37)&lt;&gt;0),Q$15-Q$16,0)</f>
        <v>0</v>
      </c>
      <c r="V17" s="121">
        <f>V$15-V$16+IF(AND(OR('Company Information'!$C$12="District of Columbia",'Company Information'!$C$12="Massachusetts",'Company Information'!$C$12="Vermont"),SUM($U$6:$X$7,$U$15:$X$16,$U$37:$V$37)&lt;&gt;0),R$15-R$16,0)</f>
        <v>0</v>
      </c>
      <c r="W17" s="121">
        <f>W$15-W$16+IF(AND(OR('Company Information'!$C$12="District of Columbia",'Company Information'!$C$12="Massachusetts",'Company Information'!$C$12="Vermont"),SUM($U$6:$X$7,$U$15:$X$16,$U$37:$V$37)&lt;&gt;0),S$15-S$16,0)</f>
        <v>0</v>
      </c>
      <c r="X17" s="121">
        <f>X$15-X$16+IF(AND(OR('Company Information'!$C$12="District of Columbia",'Company Information'!$C$12="Massachusetts",'Company Information'!$C$12="Vermont"),SUM($U$6:$X$7,$U$15:$X$16,$U$37:$V$37)&lt;&gt;0),T$15-T$16,0)</f>
        <v>0</v>
      </c>
      <c r="Y17" s="120">
        <f>Y$15-Y$16</f>
        <v>0</v>
      </c>
      <c r="Z17" s="121">
        <f>Z$15-Z$16</f>
        <v>0</v>
      </c>
      <c r="AA17" s="121">
        <f>AA$15-AA$16</f>
        <v>0</v>
      </c>
      <c r="AB17" s="121">
        <f>AB$15-AB$16</f>
        <v>0</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f>SUM(G$6:G$7)-SUM(G$8:G$10)+IF(AND(OR('Company Information'!$C$12="District of Columbia",'Company Information'!$C$12="Massachusetts",'Company Information'!$C$12="Vermont"),SUM($G$6:$G$10,$G$15:$G$16)&lt;&gt;0),SUM(L$6:L$7)-L$10,0)</f>
        <v>0</v>
      </c>
      <c r="H19" s="353"/>
      <c r="I19" s="352"/>
      <c r="J19" s="352"/>
      <c r="K19" s="352"/>
      <c r="L19" s="113">
        <f>SUM(L$6:L$7)-L$10+IF(AND(OR('Company Information'!$C$12="District of Columbia",'Company Information'!$C$12="Massachusetts",'Company Information'!$C$12="Vermont"),SUM($L$6:$L$10,$L$15:$L$16)&lt;&gt;0),SUM(G$6:G$7)-SUM(G$8:G$10),0)</f>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f>SUM('Pt 1 Summary of Data'!I$44:I$47,'Pt 1 Summary of Data'!I$49:I$51)+IF(AND(OR('Company Information'!$C$12="District of Columbia",'Company Information'!$C$12="Massachusetts",'Company Information'!$C$12="Vermont"),SUM($G$6:$G$10,$G$15:$G$16)&lt;&gt;0),SUM('Pt 1 Summary of Data'!O$44:O$47,'Pt 1 Summary of Data'!O$49:O$51),0)</f>
        <v>0</v>
      </c>
      <c r="H20" s="298"/>
      <c r="I20" s="294"/>
      <c r="J20" s="294"/>
      <c r="K20" s="294"/>
      <c r="L20" s="122">
        <f>SUM('Pt 1 Summary of Data'!O$44:O$47,'Pt 1 Summary of Data'!O$49:O$51)+IF(AND(OR('Company Information'!$C$12="District of Columbia",'Company Information'!$C$12="Massachusetts",'Company Information'!$C$12="Vermont"),SUM($L$6:$L$10,$L$15:$L$16)&lt;&gt;0),SUM('Pt 1 Summary of Data'!I$44:I$47,'Pt 1 Summary of Data'!I$49:I$51),0)</f>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f>IF(G$15-G$16+IF(AND(OR('Company Information'!$C$12="District of Columbia",'Company Information'!$C$12="Massachusetts",'Company Information'!$C$12="Vermont"),SUM($G$6:$G$10,$G$15:$G$16)&lt;&gt;0),L$15-L$16,0)=0,0,G$19/(G$15-G$16+IF(AND(OR('Company Information'!$C$12="District of Columbia",'Company Information'!$C$12="Massachusetts",'Company Information'!$C$12="Vermont"),SUM($G$6:$G$10,$G$15:$G$16)&lt;&gt;0),L$15-L$16,0)))</f>
        <v>0</v>
      </c>
      <c r="H21" s="298"/>
      <c r="I21" s="294"/>
      <c r="J21" s="294"/>
      <c r="K21" s="294"/>
      <c r="L21" s="261">
        <f>IF(L$15-L$16+IF(AND(OR('Company Information'!$C$12="District of Columbia",'Company Information'!$C$12="Massachusetts",'Company Information'!$C$12="Vermont"),SUM($L$6:$L$10,$L$15:$L$16)&lt;&gt;0),G$15-G$16,0)=0,0,L$19/(L$15-L$16+IF(AND(OR('Company Information'!$C$12="District of Columbia",'Company Information'!$C$12="Massachusetts",'Company Information'!$C$12="Vermont"),SUM($L$6:$L$10,$L$15:$L$16)&lt;&gt;0),G$15-G$16,0)))</f>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f>MAX(MAX(0,G$24),MAX(0,G$25))</f>
        <v>0</v>
      </c>
      <c r="H23" s="298"/>
      <c r="I23" s="294"/>
      <c r="J23" s="294"/>
      <c r="K23" s="294"/>
      <c r="L23" s="122">
        <f>MAX(MAX(0,L$24),MAX(0,L$25))</f>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f>G$15-G$19-G$16-G$20+IF(AND(OR('Company Information'!$C$12="District of Columbia",'Company Information'!$C$12="Massachusetts",'Company Information'!$C$12="Vermont"),SUM($G$6:$G$10,$G$15:$G$16)&lt;&gt;0),L$15-L$16,0)</f>
        <v>0</v>
      </c>
      <c r="H24" s="298"/>
      <c r="I24" s="294"/>
      <c r="J24" s="294"/>
      <c r="K24" s="294"/>
      <c r="L24" s="122">
        <f>L$15-L$19-L$16-L$20+IF(AND(OR('Company Information'!$C$12="District of Columbia",'Company Information'!$C$12="Massachusetts",'Company Information'!$C$12="Vermont"),SUM($L$6:$L$10,$L$15:$L$16)&lt;&gt;0),G$15-G$16,0)</f>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f>(3%+G$22)*(G$15-G$16+IF(AND(OR('Company Information'!$C$12="District of Columbia",'Company Information'!$C$12="Massachusetts",'Company Information'!$C$12="Vermont"),SUM($G$6:$G$10,$G$15:$G$16)&lt;&gt;0),L$15-L$16,0))</f>
        <v>0</v>
      </c>
      <c r="H25" s="298"/>
      <c r="I25" s="294"/>
      <c r="J25" s="294"/>
      <c r="K25" s="294"/>
      <c r="L25" s="122">
        <f>(3%+L$22)*(L$15-L$16+IF(AND(OR('Company Information'!$C$12="District of Columbia",'Company Information'!$C$12="Massachusetts",'Company Information'!$C$12="Vermont"),SUM($L$6:$L$10,$L$15:$L$16)&lt;&gt;0),G$15-G$16,0))</f>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f>MIN(MAX(0,G$27),MAX(0,G$28))</f>
        <v>0</v>
      </c>
      <c r="H26" s="298"/>
      <c r="I26" s="294"/>
      <c r="J26" s="294"/>
      <c r="K26" s="294"/>
      <c r="L26" s="122">
        <f>MIN(MAX(0,L$27),MAX(0,L$28))</f>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f>G$20+G$23+G$16+IF(AND(OR('Company Information'!$C$12="District of Columbia",'Company Information'!$C$12="Massachusetts",'Company Information'!$C$12="Vermont"),SUM($G$6:$G$10,$G$15:$G$16)&lt;&gt;0),L$16,0)</f>
        <v>0</v>
      </c>
      <c r="H27" s="298"/>
      <c r="I27" s="294"/>
      <c r="J27" s="294"/>
      <c r="K27" s="294"/>
      <c r="L27" s="122">
        <f>L$20+L$23+L$16+IF(AND(OR('Company Information'!$C$12="District of Columbia",'Company Information'!$C$12="Massachusetts",'Company Information'!$C$12="Vermont"),SUM($L$6:$L$10,$L$15:$L$16)&lt;&gt;0),G$16,0)</f>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f>(20%+G$22)*(G$15-G$16+IF(AND(OR('Company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8" s="298"/>
      <c r="I28" s="294"/>
      <c r="J28" s="294"/>
      <c r="K28" s="294"/>
      <c r="L28" s="122">
        <f>(20%+L$22)*(L$15-L$16+IF(AND(OR('Company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9" s="298"/>
      <c r="I29" s="294"/>
      <c r="J29" s="294"/>
      <c r="K29" s="294"/>
      <c r="L29" s="122">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f>G$15+IF(AND(OR('Company Information'!$C$12="District of Columbia",'Company Information'!$C$12="Massachusetts",'Company Information'!$C$12="Vermont"),SUM($G$6:$G$10,$G$15:$G$16)&lt;&gt;0),L$15,0)-G$26</f>
        <v>0</v>
      </c>
      <c r="H30" s="298"/>
      <c r="I30" s="294"/>
      <c r="J30" s="294"/>
      <c r="K30" s="294"/>
      <c r="L30" s="122">
        <f>L$15+IF(AND(OR('Company Information'!$C$12="District of Columbia",'Company Information'!$C$12="Massachusetts",'Company Information'!$C$12="Vermont"),SUM($L$6:$L$10,$L$15:$L$16)&lt;&gt;0),G$15,0)-L$26</f>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f>MIN(MAX(0,G$27),MAX(0,G$29))</f>
        <v>0</v>
      </c>
      <c r="H31" s="298"/>
      <c r="I31" s="294"/>
      <c r="J31" s="294"/>
      <c r="K31" s="294"/>
      <c r="L31" s="122">
        <f>MIN(MAX(0,L$27),MAX(0,L$29))</f>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f>G$15+IF(AND(OR('Company Information'!$C$12="District of Columbia",'Company Information'!$C$12="Massachusetts",'Company Information'!$C$12="Vermont"),SUM($G$6:$G$10,$G$15:$G$16)&lt;&gt;0),L$15,0)-G$31</f>
        <v>0</v>
      </c>
      <c r="H32" s="298"/>
      <c r="I32" s="294"/>
      <c r="J32" s="294"/>
      <c r="K32" s="294"/>
      <c r="L32" s="122">
        <f>L$15+IF(AND(OR('Company Information'!$C$12="District of Columbia",'Company Information'!$C$12="Massachusetts",'Company Information'!$C$12="Vermont"),SUM($L$6:$L$10,$L$15:$L$16)&lt;&gt;0),G$15,0)-L$31</f>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f>IF(G$32=0,0,G$19/G$32)</f>
        <v>0</v>
      </c>
      <c r="H33" s="360"/>
      <c r="I33" s="361"/>
      <c r="J33" s="361"/>
      <c r="K33" s="361"/>
      <c r="L33" s="381">
        <f>IF(L$32=0,0,L$19/L$32)</f>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c r="D37" s="128"/>
      <c r="E37" s="262">
        <f>('Pt 1 Summary of Data'!E$59+'Pt 1 Summary of Data'!G$59-'Pt 1 Summary of Data'!H$59)/12+IF(AND(OR('Company Information'!$C$12="District of Columbia",'Company Information'!$C$12="Massachusetts",'Company Information'!$C$12="Vermont"),SUM($C$6:$F$11,$C$15:$F$16,$C$37:$D$37)&lt;&gt;0),'Pt 1 Summary of Data'!K$59+'Pt 1 Summary of Data'!M$59-'Pt 1 Summary of Data'!N$59,0)/12</f>
        <v>0</v>
      </c>
      <c r="F37" s="262">
        <f>SUM(C$37:E$37)+IF(AND(OR('Company Information'!$C$12="District of Columbia",'Company Information'!$C$12="Massachusetts",'Company Information'!$C$12="Vermont"),SUM($C$6:$F$11,$C$15:$F$16,$C$37:$D$37)&lt;&gt;0,SUM(C$37:D$37)&lt;&gt;SUM(H$37:I$37)),SUM(H$37:I$37),0)</f>
        <v>0</v>
      </c>
      <c r="G37" s="318"/>
      <c r="H37" s="127"/>
      <c r="I37" s="128"/>
      <c r="J37" s="262">
        <f>('Pt 1 Summary of Data'!K$59+'Pt 1 Summary of Data'!M$59-'Pt 1 Summary of Data'!N$59)/12+IF(AND(OR('Company Information'!$C$12="District of Columbia",'Company Information'!$C$12="Massachusetts",'Company Information'!$C$12="Vermont"),SUM($H$6:$K$11,$H$15:$K$16,$H$37:$I$37)&lt;&gt;0),'Pt 1 Summary of Data'!E$59+'Pt 1 Summary of Data'!G$59-'Pt 1 Summary of Data'!H$59,0)/12</f>
        <v>0</v>
      </c>
      <c r="K37" s="262">
        <f>SUM(H$37:J$37)+IF(AND(OR('Company Information'!$C$12="District of Columbia",'Company Information'!$C$12="Massachusetts",'Company Information'!$C$12="Vermont"),SUM($H$6:$K$11,$H$15:$K$16,$H$37:$I$37)&lt;&gt;0,SUM(H$37:I$37)&lt;&gt;SUM(C$37:D$37)),SUM(C$37:D$37),0)</f>
        <v>0</v>
      </c>
      <c r="L37" s="318"/>
      <c r="M37" s="127"/>
      <c r="N37" s="128"/>
      <c r="O37" s="262">
        <f>('Pt 1 Summary of Data'!Q$59+'Pt 1 Summary of Data'!S$59-'Pt 1 Summary of Data'!T$59)/12</f>
        <v>0</v>
      </c>
      <c r="P37" s="262">
        <f>SUM(M$37:O$37)</f>
        <v>0</v>
      </c>
      <c r="Q37" s="127"/>
      <c r="R37" s="128"/>
      <c r="S37" s="262">
        <f>'Pt 1 Summary of Data'!V$59/12+IF(AND(OR('Company Information'!$C$12="District of Columbia",'Company Information'!$C$12="Massachusetts",'Company Information'!$C$12="Vermont"),SUM($Q$6:$T$7,$Q$15:$T$16,$Q$37:$R$37)&lt;&gt;0),'Pt 1 Summary of Data'!Y$59,0)/12</f>
        <v>0</v>
      </c>
      <c r="T37" s="262">
        <f>SUM(Q$37:S$37)+IF(AND(OR('Company Information'!$C$12="District of Columbia",'Company Information'!$C$12="Massachusetts",'Company Information'!$C$12="Vermont"),SUM($Q$6:$T$7,$Q$15:$T$16,$Q$37:$R$37)&lt;&gt;0,SUM(Q$37:R$37)&lt;&gt;SUM(U$37:V$37)),SUM(U$37:V$37),0)</f>
        <v>0</v>
      </c>
      <c r="U37" s="127"/>
      <c r="V37" s="128"/>
      <c r="W37" s="262">
        <f>'Pt 1 Summary of Data'!Y$59/12+IF(AND(OR('Company Information'!$C$12="District of Columbia",'Company Information'!$C$12="Massachusetts",'Company Information'!$C$12="Vermont"),SUM($U$6:$X$7,$U$15:$X$16,$U$37:$V$37)&lt;&gt;0),'Pt 1 Summary of Data'!V$59,0)/12</f>
        <v>0</v>
      </c>
      <c r="X37" s="262">
        <f>SUM(U$37:W$37)+IF(AND(OR('Company Information'!$C$12="District of Columbia",'Company Information'!$C$12="Massachusetts",'Company Information'!$C$12="Vermont"),SUM($U$6:$X$7,$U$15:$X$16,$U$37:$V$37)&lt;&gt;0,SUM(U$37:V$37)&lt;&gt;SUM(Q$37:R$37)),SUM(Q$37:R$37),0)</f>
        <v>0</v>
      </c>
      <c r="Y37" s="127"/>
      <c r="Z37" s="128"/>
      <c r="AA37" s="262">
        <f>'Pt 1 Summary of Data'!AB$59/12</f>
        <v>0</v>
      </c>
      <c r="AB37" s="262">
        <f>SUM(Y$37:AA$37)</f>
        <v>0</v>
      </c>
      <c r="AC37" s="353"/>
      <c r="AD37" s="352"/>
      <c r="AE37" s="352"/>
      <c r="AF37" s="352"/>
      <c r="AG37" s="353"/>
      <c r="AH37" s="352"/>
      <c r="AI37" s="352"/>
      <c r="AJ37" s="352"/>
      <c r="AK37" s="353"/>
      <c r="AL37" s="128"/>
      <c r="AM37" s="262"/>
      <c r="AN37" s="263"/>
    </row>
    <row r="38" spans="1:40" x14ac:dyDescent="0.2">
      <c r="B38" s="197" t="s">
        <v>322</v>
      </c>
      <c r="C38" s="357"/>
      <c r="D38" s="358"/>
      <c r="E38" s="358"/>
      <c r="F38" s="273">
        <f ca="1">IF(OR(F$37&lt;1000,F$37&gt;=75000,AND(C$37&gt;=1000,D$37&gt;=1000,E$37&gt;=1000,C$44&lt;C$49,D$44&lt;D$49,E$44&lt;E$49)),0,VLOOKUP(F$37,'Reference Tables'!$A$4:$B$11,2)+((F$37-VLOOKUP(F$37,'Reference Tables'!$A$4:$B$11,1))*(OFFSET(INDEX('Reference Tables'!$A$4:$A$11,MATCH(F$37,'Reference Tables'!$A$4:$A$11)),1,1)-VLOOKUP(F$37,'Reference Tables'!$A$4:$B$11,2))/(OFFSET(INDEX('Reference Tables'!$A$4:$A$11,MATCH(F$37,'Reference Tables'!$A$4:$A$11)),1,0)-VLOOKUP(F$37,'Reference Tables'!$A$4:$B$11,1))))</f>
        <v>0</v>
      </c>
      <c r="G38" s="359"/>
      <c r="H38" s="357"/>
      <c r="I38" s="358"/>
      <c r="J38" s="358"/>
      <c r="K38" s="273">
        <f ca="1">IF(OR(K$37&lt;1000,K$37&gt;=75000,AND(H$37&gt;=1000,I$37&gt;=1000,J$37&gt;=1000,H$44&lt;H$49,I$44&lt;I$49,J$44&lt;J$49)),0,VLOOKUP(K$37,'Reference Tables'!$A$4:$B$11,2)+((K$37-VLOOKUP(K$37,'Reference Tables'!$A$4:$B$11,1))*(OFFSET(INDEX('Reference Tables'!$A$4:$A$11,MATCH(K$37,'Reference Tables'!$A$4:$A$11)),1,1)-VLOOKUP(K$37,'Reference Tables'!$A$4:$B$11,2))/(OFFSET(INDEX('Reference Tables'!$A$4:$A$11,MATCH(K$37,'Reference Tables'!$A$4:$A$11)),1,0)-VLOOKUP(K$37,'Reference Tables'!$A$4:$B$11,1))))</f>
        <v>0</v>
      </c>
      <c r="L38" s="359"/>
      <c r="M38" s="357"/>
      <c r="N38" s="358"/>
      <c r="O38" s="358"/>
      <c r="P38" s="273">
        <f ca="1">IF(OR(P$37&lt;1000,P$37&gt;=75000,AND(M$37&gt;=1000,N$37&gt;=1000,O$37&gt;=1000,M$44&lt;M$49,N$44&lt;N$49,O$44&lt;O$49)),0,VLOOKUP(P$37,'Reference Tables'!$A$4:$B$11,2)+((P$37-VLOOKUP(P$37,'Reference Tables'!$A$4:$B$11,1))*(OFFSET(INDEX('Reference Tables'!$A$4:$A$11,MATCH(P$37,'Reference Tables'!$A$4:$A$11)),1,1)-VLOOKUP(P$37,'Reference Tables'!$A$4:$B$11,2))/(OFFSET(INDEX('Reference Tables'!$A$4:$A$11,MATCH(P$37,'Reference Tables'!$A$4:$A$11)),1,0)-VLOOKUP(P$37,'Reference Tables'!$A$4:$B$11,1))))</f>
        <v>0</v>
      </c>
      <c r="Q38" s="357"/>
      <c r="R38" s="358"/>
      <c r="S38" s="358"/>
      <c r="T38" s="273">
        <f ca="1">IF(OR(T$37&lt;1000,T$37&gt;=75000,AND(Q$37&gt;=1000,R$37&gt;=1000,S$37&gt;=1000,Q$45&lt;Q$49,R$45&lt;R$49,S$45&lt;S$49)),0,VLOOKUP(T$37,'Reference Tables'!$A$4:$B$11,2)+((T$37-VLOOKUP(T$37,'Reference Tables'!$A$4:$B$11,1))*(OFFSET(INDEX('Reference Tables'!$A$4:$A$11,MATCH(T$37,'Reference Tables'!$A$4:$A$11)),1,1)-VLOOKUP(T$37,'Reference Tables'!$A$4:$B$11,2))/(OFFSET(INDEX('Reference Tables'!$A$4:$A$11,MATCH(T$37,'Reference Tables'!$A$4:$A$11)),1,0)-VLOOKUP(T$37,'Reference Tables'!$A$4:$B$11,1))))</f>
        <v>0</v>
      </c>
      <c r="U38" s="357"/>
      <c r="V38" s="358"/>
      <c r="W38" s="358"/>
      <c r="X38" s="273">
        <f ca="1">IF(OR(X$37&lt;1000,X$37&gt;=75000,AND(U$37&gt;=1000,V$37&gt;=1000,W$37&gt;=1000,U$45&lt;U$49,V$45&lt;V$49,W$45&lt;W$49)),0,VLOOKUP(X$37,'Reference Tables'!$A$4:$B$11,2)+((X$37-VLOOKUP(X$37,'Reference Tables'!$A$4:$B$11,1))*(OFFSET(INDEX('Reference Tables'!$A$4:$A$11,MATCH(X$37,'Reference Tables'!$A$4:$A$11)),1,1)-VLOOKUP(X$37,'Reference Tables'!$A$4:$B$11,2))/(OFFSET(INDEX('Reference Tables'!$A$4:$A$11,MATCH(X$37,'Reference Tables'!$A$4:$A$11)),1,0)-VLOOKUP(X$37,'Reference Tables'!$A$4:$B$11,1))))</f>
        <v>0</v>
      </c>
      <c r="Y38" s="357"/>
      <c r="Z38" s="358"/>
      <c r="AA38" s="358"/>
      <c r="AB38" s="273">
        <f ca="1">IF(OR(AB$37&lt;1000,AB$37&gt;=75000,AND(Y$37&gt;=1000,Z$37&gt;=1000,AA$37&gt;=1000,Y$45&lt;Y$49,Z$45&lt;Z$49,AA$45&lt;AA$49)),0,VLOOKUP(AB$37,'Reference Tables'!$A$4:$B$11,2)+((AB$37-VLOOKUP(AB$37,'Reference Tables'!$A$4:$B$11,1))*(OFFSET(INDEX('Reference Tables'!$A$4:$A$11,MATCH(AB$37,'Reference Tables'!$A$4:$A$11)),1,1)-VLOOKUP(AB$37,'Reference Tables'!$A$4:$B$11,2))/(OFFSET(INDEX('Reference Tables'!$A$4:$A$11,MATCH(AB$37,'Reference Tables'!$A$4:$A$11)),1,0)-VLOOKUP(AB$37,'Reference Tables'!$A$4:$B$11,1))))</f>
        <v>0</v>
      </c>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f ca="1">IF(F$39&lt;2500,1,(MIN(VLOOKUP(F$39,'Reference Tables'!$A$17:$B$20,2)+((F$39-VLOOKUP(F$39,'Reference Tables'!$A$17:$B$20,1))*(OFFSET(INDEX('Reference Tables'!$A$17:$A$20,MATCH(F$39,'Reference Tables'!$A$17:$A$20)),1,1)-VLOOKUP(F$39,'Reference Tables'!$A$17:$B$20,2))/(OFFSET(INDEX('Reference Tables'!$A$17:$A$20,MATCH(F$39,'Reference Tables'!$A$17:$A$20)),1,0)-VLOOKUP(F$39,'Reference Tables'!$A$17:$B$20,1))),1.736)))</f>
        <v>1</v>
      </c>
      <c r="G40" s="317"/>
      <c r="H40" s="298"/>
      <c r="I40" s="294"/>
      <c r="J40" s="294"/>
      <c r="K40" s="264">
        <f ca="1">IF(K$39&lt;2500,1,(MIN(VLOOKUP(K$39,'Reference Tables'!$A$17:$B$20,2)+((K$39-VLOOKUP(K$39,'Reference Tables'!$A$17:$B$20,1))*(OFFSET(INDEX('Reference Tables'!$A$17:$A$20,MATCH(K$39,'Reference Tables'!$A$17:$A$20)),1,1)-VLOOKUP(K$39,'Reference Tables'!$A$17:$B$20,2))/(OFFSET(INDEX('Reference Tables'!$A$17:$A$20,MATCH(K$39,'Reference Tables'!$A$17:$A$20)),1,0)-VLOOKUP(K$39,'Reference Tables'!$A$17:$B$20,1))),1.736)))</f>
        <v>1</v>
      </c>
      <c r="L40" s="317"/>
      <c r="M40" s="298"/>
      <c r="N40" s="294"/>
      <c r="O40" s="294"/>
      <c r="P40" s="264">
        <f ca="1">IF(P$39&lt;2500,1,(MIN(VLOOKUP(P$39,'Reference Tables'!$A$17:$B$20,2)+((P$39-VLOOKUP(P$39,'Reference Tables'!$A$17:$B$20,1))*(OFFSET(INDEX('Reference Tables'!$A$17:$A$20,MATCH(P$39,'Reference Tables'!$A$17:$A$20)),1,1)-VLOOKUP(P$39,'Reference Tables'!$A$17:$B$20,2))/(OFFSET(INDEX('Reference Tables'!$A$17:$A$20,MATCH(P$39,'Reference Tables'!$A$17:$A$20)),1,0)-VLOOKUP(P$39,'Reference Tables'!$A$17:$B$20,1))),1.736)))</f>
        <v>1</v>
      </c>
      <c r="Q40" s="298"/>
      <c r="R40" s="294"/>
      <c r="S40" s="294"/>
      <c r="T40" s="264">
        <f ca="1">IF(T$39&lt;2500,1,(MIN(VLOOKUP(T$39,'Reference Tables'!$A$17:$B$20,2)+((T$39-VLOOKUP(T$39,'Reference Tables'!$A$17:$B$20,1))*(OFFSET(INDEX('Reference Tables'!$A$17:$A$20,MATCH(T$39,'Reference Tables'!$A$17:$A$20)),1,1)-VLOOKUP(T$39,'Reference Tables'!$A$17:$B$20,2))/(OFFSET(INDEX('Reference Tables'!$A$17:$A$20,MATCH(T$39,'Reference Tables'!$A$17:$A$20)),1,0)-VLOOKUP(T$39,'Reference Tables'!$A$17:$B$20,1))),1.736)))</f>
        <v>1</v>
      </c>
      <c r="U40" s="298"/>
      <c r="V40" s="294"/>
      <c r="W40" s="294"/>
      <c r="X40" s="264">
        <f ca="1">IF(X$39&lt;2500,1,(MIN(VLOOKUP(X$39,'Reference Tables'!$A$17:$B$20,2)+((X$39-VLOOKUP(X$39,'Reference Tables'!$A$17:$B$20,1))*(OFFSET(INDEX('Reference Tables'!$A$17:$A$20,MATCH(X$39,'Reference Tables'!$A$17:$A$20)),1,1)-VLOOKUP(X$39,'Reference Tables'!$A$17:$B$20,2))/(OFFSET(INDEX('Reference Tables'!$A$17:$A$20,MATCH(X$39,'Reference Tables'!$A$17:$A$20)),1,0)-VLOOKUP(X$39,'Reference Tables'!$A$17:$B$20,1))),1.736)))</f>
        <v>1</v>
      </c>
      <c r="Y40" s="298"/>
      <c r="Z40" s="294"/>
      <c r="AA40" s="294"/>
      <c r="AB40" s="264">
        <f ca="1">IF(AB$39&lt;2500,1,(MIN(VLOOKUP(AB$39,'Reference Tables'!$A$17:$B$20,2)+((AB$39-VLOOKUP(AB$39,'Reference Tables'!$A$17:$B$20,1))*(OFFSET(INDEX('Reference Tables'!$A$17:$A$20,MATCH(AB$39,'Reference Tables'!$A$17:$A$20)),1,1)-VLOOKUP(AB$39,'Reference Tables'!$A$17:$B$20,2))/(OFFSET(INDEX('Reference Tables'!$A$17:$A$20,MATCH(AB$39,'Reference Tables'!$A$17:$A$20)),1,0)-VLOOKUP(AB$39,'Reference Tables'!$A$17:$B$20,1))),1.736)))</f>
        <v>1</v>
      </c>
      <c r="AC40" s="298"/>
      <c r="AD40" s="294"/>
      <c r="AE40" s="294"/>
      <c r="AF40" s="294"/>
      <c r="AG40" s="298"/>
      <c r="AH40" s="294"/>
      <c r="AI40" s="294"/>
      <c r="AJ40" s="294"/>
      <c r="AK40" s="298"/>
      <c r="AL40" s="294"/>
      <c r="AM40" s="294"/>
      <c r="AN40" s="265"/>
    </row>
    <row r="41" spans="1:40" x14ac:dyDescent="0.2">
      <c r="B41" s="197" t="s">
        <v>325</v>
      </c>
      <c r="C41" s="298"/>
      <c r="D41" s="294"/>
      <c r="E41" s="294"/>
      <c r="F41" s="266">
        <f>IF(OR(F$37&lt;1000,F$37&gt;=75000),0,F$38*F$40)</f>
        <v>0</v>
      </c>
      <c r="G41" s="317"/>
      <c r="H41" s="298"/>
      <c r="I41" s="294"/>
      <c r="J41" s="294"/>
      <c r="K41" s="266">
        <f>IF(OR(K$37&lt;1000,K$37&gt;=75000),0,K$38*K$40)</f>
        <v>0</v>
      </c>
      <c r="L41" s="317"/>
      <c r="M41" s="298"/>
      <c r="N41" s="294"/>
      <c r="O41" s="294"/>
      <c r="P41" s="266">
        <f>IF(OR(P$37&lt;1000,P$37&gt;=75000),0,P$38*P$40)</f>
        <v>0</v>
      </c>
      <c r="Q41" s="298"/>
      <c r="R41" s="294"/>
      <c r="S41" s="294"/>
      <c r="T41" s="266">
        <f>IF(OR(T$37&lt;1000,T$37&gt;=75000),0,T$38*T$40)</f>
        <v>0</v>
      </c>
      <c r="U41" s="298"/>
      <c r="V41" s="294"/>
      <c r="W41" s="294"/>
      <c r="X41" s="266">
        <f>IF(OR(X$37&lt;1000,X$37&gt;=75000),0,X$38*X$40)</f>
        <v>0</v>
      </c>
      <c r="Y41" s="298"/>
      <c r="Z41" s="294"/>
      <c r="AA41" s="294"/>
      <c r="AB41" s="266">
        <f>IF(OR(AB$37&lt;1000,AB$37&gt;=75000),0,AB$38*AB$40)</f>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t="str">
        <f>IF(OR(C$37&lt;1000,C$17&lt;=0),"",C$12/C$17)</f>
        <v/>
      </c>
      <c r="D44" s="266" t="str">
        <f>IF(OR(D$37&lt;1000,D$17&lt;=0),"",D$12/D$17)</f>
        <v/>
      </c>
      <c r="E44" s="266" t="str">
        <f>IF(OR(E$37&lt;1000,E$17&lt;=0),"",E$12/E$17)</f>
        <v/>
      </c>
      <c r="F44" s="266" t="str">
        <f>IF(OR(F$37&lt;1000,F$17&lt;=0),"",F$12/F$17)</f>
        <v/>
      </c>
      <c r="G44" s="317"/>
      <c r="H44" s="268" t="str">
        <f>IF(OR(H$37&lt;1000,H$17&lt;=0),"",H$12/H$17)</f>
        <v/>
      </c>
      <c r="I44" s="266" t="str">
        <f>IF(OR(I$37&lt;1000,I$17&lt;=0),"",I$12/I$17)</f>
        <v/>
      </c>
      <c r="J44" s="266" t="str">
        <f>IF(OR(J$37&lt;1000,J$17&lt;=0),"",J$12/J$17)</f>
        <v/>
      </c>
      <c r="K44" s="266" t="str">
        <f>IF(OR(K$37&lt;1000,K$17&lt;=0),"",K$12/K$17)</f>
        <v/>
      </c>
      <c r="L44" s="317"/>
      <c r="M44" s="268" t="str">
        <f>IF(OR(M$37&lt;1000,M$17&lt;=0),"",M$12/M$17)</f>
        <v/>
      </c>
      <c r="N44" s="266" t="str">
        <f>IF(OR(N$37&lt;1000,N$17&lt;=0),"",N$12/N$17)</f>
        <v/>
      </c>
      <c r="O44" s="266" t="str">
        <f>IF(OR(O$37&lt;1000,O$17&lt;=0),"",O$12/O$17)</f>
        <v/>
      </c>
      <c r="P44" s="266" t="str">
        <f>IF(OR(P$37&lt;1000,P$17&lt;=0),"",P$12/P$17)</f>
        <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tr">
        <f>IF(OR(Q$37&lt;1000,Q$17&lt;=0),"",Q$13/Q$17)</f>
        <v/>
      </c>
      <c r="R45" s="266" t="str">
        <f>IF(OR(R$37&lt;1000,R$17&lt;=0),"",R$13/R$17)</f>
        <v/>
      </c>
      <c r="S45" s="266" t="str">
        <f>IF(OR(S$37&lt;1000,S$17&lt;=0),"",S$13/S$17)</f>
        <v/>
      </c>
      <c r="T45" s="266" t="str">
        <f>IF(OR(T$37&lt;1000,T$17&lt;=0),"",T$13/T$17)</f>
        <v/>
      </c>
      <c r="U45" s="268" t="str">
        <f>IF(OR(U$37&lt;1000,U$17&lt;=0),"",U$13/U$17)</f>
        <v/>
      </c>
      <c r="V45" s="266" t="str">
        <f>IF(OR(V$37&lt;1000,V$17&lt;=0),"",V$13/V$17)</f>
        <v/>
      </c>
      <c r="W45" s="266" t="str">
        <f>IF(OR(W$37&lt;1000,W$17&lt;=0),"",W$13/W$17)</f>
        <v/>
      </c>
      <c r="X45" s="266" t="str">
        <f>IF(OR(X$37&lt;1000,X$17&lt;=0),"",X$13/X$17)</f>
        <v/>
      </c>
      <c r="Y45" s="268" t="str">
        <f>IF(OR(Y$37&lt;1000,Y$17&lt;=0),"",Y$13/Y$17)</f>
        <v/>
      </c>
      <c r="Z45" s="266" t="str">
        <f>IF(OR(Z$37&lt;1000,Z$17&lt;=0),"",Z$13/Z$17)</f>
        <v/>
      </c>
      <c r="AA45" s="266" t="str">
        <f>IF(OR(AA$37&lt;1000,AA$17&lt;=0),"",AA$13/AA$17)</f>
        <v/>
      </c>
      <c r="AB45" s="266" t="str">
        <f>IF(OR(AB$37&lt;1000,AB$17&lt;=0),"",AB$13/AB$17)</f>
        <v/>
      </c>
      <c r="AC45" s="298"/>
      <c r="AD45" s="294"/>
      <c r="AE45" s="294"/>
      <c r="AF45" s="294"/>
      <c r="AG45" s="298"/>
      <c r="AH45" s="294"/>
      <c r="AI45" s="294"/>
      <c r="AJ45" s="294"/>
      <c r="AK45" s="298"/>
      <c r="AL45" s="266"/>
      <c r="AM45" s="266"/>
      <c r="AN45" s="267"/>
    </row>
    <row r="46" spans="1:40" x14ac:dyDescent="0.2">
      <c r="B46" s="203" t="s">
        <v>330</v>
      </c>
      <c r="C46" s="298"/>
      <c r="D46" s="294"/>
      <c r="E46" s="294"/>
      <c r="F46" s="266" t="str">
        <f>IF(F$44="","",F$41)</f>
        <v/>
      </c>
      <c r="G46" s="317"/>
      <c r="H46" s="298"/>
      <c r="I46" s="294"/>
      <c r="J46" s="294"/>
      <c r="K46" s="266" t="str">
        <f>IF(K$44="","",K$41)</f>
        <v/>
      </c>
      <c r="L46" s="317"/>
      <c r="M46" s="298"/>
      <c r="N46" s="294"/>
      <c r="O46" s="294"/>
      <c r="P46" s="266" t="str">
        <f>IF(P$44="","",P$41)</f>
        <v/>
      </c>
      <c r="Q46" s="299"/>
      <c r="R46" s="295"/>
      <c r="S46" s="295"/>
      <c r="T46" s="266" t="str">
        <f>IF(T$45="","",T$41)</f>
        <v/>
      </c>
      <c r="U46" s="299"/>
      <c r="V46" s="295"/>
      <c r="W46" s="295"/>
      <c r="X46" s="266" t="str">
        <f>IF(X$45="","",X$41)</f>
        <v/>
      </c>
      <c r="Y46" s="299"/>
      <c r="Z46" s="295"/>
      <c r="AA46" s="295"/>
      <c r="AB46" s="266" t="str">
        <f>IF(AB$45="","",AB$41)</f>
        <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t="str">
        <f>IF(F$44="","",ROUND(F$44+MAX(0,F$46),3))</f>
        <v/>
      </c>
      <c r="G47" s="317"/>
      <c r="H47" s="298"/>
      <c r="I47" s="294"/>
      <c r="J47" s="294"/>
      <c r="K47" s="266" t="str">
        <f>IF(K$44="","",ROUND(K$44+MAX(0,K$46),3))</f>
        <v/>
      </c>
      <c r="L47" s="317"/>
      <c r="M47" s="298"/>
      <c r="N47" s="294"/>
      <c r="O47" s="294"/>
      <c r="P47" s="266" t="str">
        <f>IF(P$44="","",ROUND(P$44+MAX(0,P$46),3))</f>
        <v/>
      </c>
      <c r="Q47" s="298"/>
      <c r="R47" s="294"/>
      <c r="S47" s="294"/>
      <c r="T47" s="266" t="str">
        <f>IF(T$45="","",ROUND(T$45+MAX(0,T$46),3))</f>
        <v/>
      </c>
      <c r="U47" s="298"/>
      <c r="V47" s="294"/>
      <c r="W47" s="294"/>
      <c r="X47" s="266" t="str">
        <f>IF(X$45="","",ROUND(X$45+MAX(0,X$46),3))</f>
        <v/>
      </c>
      <c r="Y47" s="298"/>
      <c r="Z47" s="294"/>
      <c r="AA47" s="294"/>
      <c r="AB47" s="266" t="str">
        <f>IF(AB$45="","",ROUND(AB$45+MAX(0,AB$46),3))</f>
        <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0.8</v>
      </c>
      <c r="D49" s="147">
        <v>0.8</v>
      </c>
      <c r="E49" s="147">
        <v>0.8</v>
      </c>
      <c r="F49" s="147">
        <v>0.8</v>
      </c>
      <c r="G49" s="318"/>
      <c r="H49" s="146">
        <v>0.8</v>
      </c>
      <c r="I49" s="147">
        <v>0.8</v>
      </c>
      <c r="J49" s="147">
        <v>0.8</v>
      </c>
      <c r="K49" s="147">
        <v>0.8</v>
      </c>
      <c r="L49" s="318"/>
      <c r="M49" s="146">
        <v>0.85</v>
      </c>
      <c r="N49" s="147">
        <v>0.85</v>
      </c>
      <c r="O49" s="147">
        <v>0.85</v>
      </c>
      <c r="P49" s="147">
        <v>0.85</v>
      </c>
      <c r="Q49" s="146">
        <f>IF('Company Information'!$C$12="","Please select a State",VLOOKUP('Company Information'!$C$12,'Reference Tables'!$D$3:$J$60,2,FALSE))</f>
        <v>0</v>
      </c>
      <c r="R49" s="147">
        <f>IF('Company Information'!$C$12="","Please select a State",VLOOKUP('Company Information'!$C$12,'Reference Tables'!$D$3:$J$60,4,FALSE))</f>
        <v>0</v>
      </c>
      <c r="S49" s="147">
        <f>IF('Company Information'!$C$12="","Please select a State",VLOOKUP('Company Information'!$C$12,'Reference Tables'!$D$3:$J$60,6,FALSE))</f>
        <v>0</v>
      </c>
      <c r="T49" s="147">
        <f>S$49</f>
        <v>0</v>
      </c>
      <c r="U49" s="146">
        <f>IF('Company Information'!$C$12="","Please select a State",VLOOKUP('Company Information'!$C$12,'Reference Tables'!$D$3:$J$60,3,FALSE))</f>
        <v>2045</v>
      </c>
      <c r="V49" s="147">
        <f>IF('Company Information'!$C$12="","Please select a State",VLOOKUP('Company Information'!$C$12,'Reference Tables'!$D$3:$J$60,5,FALSE))</f>
        <v>0</v>
      </c>
      <c r="W49" s="147">
        <f>IF('Company Information'!$C$12="","Please select a State",VLOOKUP('Company Information'!$C$12,'Reference Tables'!$D$3:$J$60,7,FALSE))</f>
        <v>0</v>
      </c>
      <c r="X49" s="147">
        <f>W$49</f>
        <v>0</v>
      </c>
      <c r="Y49" s="146"/>
      <c r="Z49" s="147"/>
      <c r="AA49" s="147"/>
      <c r="AB49" s="147"/>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t="str">
        <f>F$47</f>
        <v/>
      </c>
      <c r="G50" s="317"/>
      <c r="H50" s="299"/>
      <c r="I50" s="295"/>
      <c r="J50" s="295"/>
      <c r="K50" s="266" t="str">
        <f>K$47</f>
        <v/>
      </c>
      <c r="L50" s="317"/>
      <c r="M50" s="299"/>
      <c r="N50" s="295"/>
      <c r="O50" s="295"/>
      <c r="P50" s="266" t="str">
        <f>P$47</f>
        <v/>
      </c>
      <c r="Q50" s="299"/>
      <c r="R50" s="295"/>
      <c r="S50" s="295"/>
      <c r="T50" s="266" t="str">
        <f>T$47</f>
        <v/>
      </c>
      <c r="U50" s="299"/>
      <c r="V50" s="295"/>
      <c r="W50" s="295"/>
      <c r="X50" s="266" t="str">
        <f>X$47</f>
        <v/>
      </c>
      <c r="Y50" s="299"/>
      <c r="Z50" s="295"/>
      <c r="AA50" s="295"/>
      <c r="AB50" s="266" t="str">
        <f>AB$47</f>
        <v/>
      </c>
      <c r="AC50" s="298"/>
      <c r="AD50" s="294"/>
      <c r="AE50" s="294"/>
      <c r="AF50" s="294"/>
      <c r="AG50" s="298"/>
      <c r="AH50" s="294"/>
      <c r="AI50" s="294"/>
      <c r="AJ50" s="294"/>
      <c r="AK50" s="298"/>
      <c r="AL50" s="295"/>
      <c r="AM50" s="295"/>
      <c r="AN50" s="267"/>
    </row>
    <row r="51" spans="1:40" x14ac:dyDescent="0.2">
      <c r="B51" s="201" t="s">
        <v>334</v>
      </c>
      <c r="C51" s="298"/>
      <c r="D51" s="294"/>
      <c r="E51" s="294"/>
      <c r="F51" s="121" t="str">
        <f>IF(F$37&lt;1000,"",MAX(0,E$15-E$16))</f>
        <v/>
      </c>
      <c r="G51" s="317"/>
      <c r="H51" s="298"/>
      <c r="I51" s="294"/>
      <c r="J51" s="294"/>
      <c r="K51" s="121" t="str">
        <f>IF(K$37&lt;1000,"",MAX(0,J$15-J$16))</f>
        <v/>
      </c>
      <c r="L51" s="317"/>
      <c r="M51" s="298"/>
      <c r="N51" s="294"/>
      <c r="O51" s="294"/>
      <c r="P51" s="121" t="str">
        <f>IF(P$37&lt;1000,"",MAX(0,O$15-O$16))</f>
        <v/>
      </c>
      <c r="Q51" s="298"/>
      <c r="R51" s="294"/>
      <c r="S51" s="294"/>
      <c r="T51" s="121" t="str">
        <f>IF(T$37&lt;1000,"",MAX(0,S$15-S$16))</f>
        <v/>
      </c>
      <c r="U51" s="298"/>
      <c r="V51" s="294"/>
      <c r="W51" s="294"/>
      <c r="X51" s="121" t="str">
        <f>IF(X$37&lt;1000,"",MAX(0,W$15-W$16))</f>
        <v/>
      </c>
      <c r="Y51" s="298"/>
      <c r="Z51" s="294"/>
      <c r="AA51" s="294"/>
      <c r="AB51" s="121" t="str">
        <f>IF(AB$37&lt;1000,"",MAX(0,AA$15-AA$16))</f>
        <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f>IF(OR(F$37&lt;1000,F$17&lt;=0),0,MAX(0,F$49-F$50)*F$51)</f>
        <v>0</v>
      </c>
      <c r="G52" s="317"/>
      <c r="H52" s="298"/>
      <c r="I52" s="294"/>
      <c r="J52" s="294"/>
      <c r="K52" s="121">
        <f>IF(OR(K$37&lt;1000,K$17&lt;=0),0,MAX(0,K$49-K$50)*K$51)</f>
        <v>0</v>
      </c>
      <c r="L52" s="317"/>
      <c r="M52" s="298"/>
      <c r="N52" s="294"/>
      <c r="O52" s="294"/>
      <c r="P52" s="121">
        <f>IF(OR(P$37&lt;1000,P$17&lt;=0),0,MAX(0,P$49-P$50)*P$51)</f>
        <v>0</v>
      </c>
      <c r="Q52" s="298"/>
      <c r="R52" s="294"/>
      <c r="S52" s="294"/>
      <c r="T52" s="121">
        <f>IF(OR(T$37&lt;1000,T$17&lt;=0),0,MAX(0,T$49-T$50)*T$51)</f>
        <v>0</v>
      </c>
      <c r="U52" s="298"/>
      <c r="V52" s="294"/>
      <c r="W52" s="294"/>
      <c r="X52" s="121">
        <f>IF(OR(X$37&lt;1000,X$17&lt;=0),0,MAX(0,X$49-X$50)*X$51)</f>
        <v>0</v>
      </c>
      <c r="Y52" s="298"/>
      <c r="Z52" s="294"/>
      <c r="AA52" s="294"/>
      <c r="AB52" s="121">
        <f>IF(OR(AB$37&lt;1000,AB$17&lt;=0),0,MAX(0,AB$49-AB$50)*AB$51)</f>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f>'Pt 1 Summary of Data'!$E$56+'Pt 1 Summary of Data'!$G$56-'Pt 1 Summary of Data'!$H$56</f>
        <v>0</v>
      </c>
      <c r="D4" s="155">
        <f>'Pt 1 Summary of Data'!$K$56+'Pt 1 Summary of Data'!$M$56-'Pt 1 Summary of Data'!$N$56</f>
        <v>0</v>
      </c>
      <c r="E4" s="155">
        <f>'Pt 1 Summary of Data'!$Q$56+'Pt 1 Summary of Data'!$S$56-'Pt 1 Summary of Data'!$T$56</f>
        <v>0</v>
      </c>
      <c r="F4" s="155">
        <f>'Pt 1 Summary of Data'!$V$56</f>
        <v>0</v>
      </c>
      <c r="G4" s="155">
        <f>'Pt 1 Summary of Data'!$Y$56</f>
        <v>0</v>
      </c>
      <c r="H4" s="155">
        <f>'Pt 1 Summary of Data'!$AB$56</f>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f>'Pt 3 MLR and Rebate Calculation'!$F$52</f>
        <v>0</v>
      </c>
      <c r="D11" s="125">
        <f>'Pt 3 MLR and Rebate Calculation'!$K$52</f>
        <v>0</v>
      </c>
      <c r="E11" s="125">
        <f>'Pt 3 MLR and Rebate Calculation'!$P$52</f>
        <v>0</v>
      </c>
      <c r="F11" s="125">
        <f>'Pt 3 MLR and Rebate Calculation'!$T$52</f>
        <v>0</v>
      </c>
      <c r="G11" s="125">
        <f>'Pt 3 MLR and Rebate Calculation'!$X$52</f>
        <v>0</v>
      </c>
      <c r="H11" s="125">
        <f>'Pt 3 MLR and Rebate Calculation'!$AB$52</f>
        <v>0</v>
      </c>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v>0</v>
      </c>
      <c r="D14" s="119">
        <v>0</v>
      </c>
      <c r="E14" s="119">
        <v>0</v>
      </c>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Justin Moore</cp:lastModifiedBy>
  <cp:lastPrinted>2014-12-18T11:24:00Z</cp:lastPrinted>
  <dcterms:created xsi:type="dcterms:W3CDTF">2012-03-15T16:14:51Z</dcterms:created>
  <dcterms:modified xsi:type="dcterms:W3CDTF">2015-07-22T19:33:58Z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