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K51" i="10"/>
  <c r="F51" i="10"/>
  <c r="AB50" i="10"/>
  <c r="P50" i="10"/>
  <c r="AB47" i="10"/>
  <c r="P47" i="10"/>
  <c r="AB46" i="10"/>
  <c r="P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AB40" i="10"/>
  <c r="X40" i="10"/>
  <c r="T40" i="10"/>
  <c r="P40" i="10"/>
  <c r="K40" i="10"/>
  <c r="F40" i="10"/>
  <c r="AB38" i="10"/>
  <c r="T38" i="10"/>
  <c r="P38" i="10"/>
  <c r="K38" i="10"/>
  <c r="F38" i="10"/>
  <c r="AB37" i="10"/>
  <c r="AA37" i="10"/>
  <c r="X37" i="10"/>
  <c r="W37" i="10"/>
  <c r="T37" i="10"/>
  <c r="S37" i="10"/>
  <c r="P37" i="10"/>
  <c r="O37" i="10"/>
  <c r="K37" i="10"/>
  <c r="J37" i="10"/>
  <c r="F37" i="10"/>
  <c r="E37" i="10"/>
  <c r="L29" i="10"/>
  <c r="L28" i="10"/>
  <c r="L25" i="10"/>
  <c r="L24" i="10"/>
  <c r="L23" i="10" s="1"/>
  <c r="L27" i="10" s="1"/>
  <c r="L21" i="10"/>
  <c r="L20" i="10"/>
  <c r="L19" i="10"/>
  <c r="AB17" i="10"/>
  <c r="AA17" i="10"/>
  <c r="Z17" i="10"/>
  <c r="Y17" i="10"/>
  <c r="X17" i="10"/>
  <c r="W17" i="10"/>
  <c r="V17" i="10"/>
  <c r="X13" i="10" s="1"/>
  <c r="U17" i="10"/>
  <c r="T17" i="10"/>
  <c r="S17" i="10"/>
  <c r="R17" i="10"/>
  <c r="Q17" i="10"/>
  <c r="P17" i="10"/>
  <c r="O17" i="10"/>
  <c r="N17" i="10"/>
  <c r="M17" i="10"/>
  <c r="P12" i="10" s="1"/>
  <c r="K17" i="10"/>
  <c r="J17" i="10"/>
  <c r="I17" i="10"/>
  <c r="H17" i="10"/>
  <c r="F17" i="10"/>
  <c r="E17" i="10"/>
  <c r="D17" i="10"/>
  <c r="C17" i="10"/>
  <c r="AB16" i="10"/>
  <c r="AA16" i="10"/>
  <c r="X16" i="10"/>
  <c r="V13" i="10" s="1"/>
  <c r="W16" i="10"/>
  <c r="T16" i="10"/>
  <c r="S16" i="10"/>
  <c r="S13" i="10" s="1"/>
  <c r="P16" i="10"/>
  <c r="O16" i="10"/>
  <c r="L16" i="10"/>
  <c r="K16" i="10"/>
  <c r="J16" i="10"/>
  <c r="G16" i="10"/>
  <c r="F16" i="10"/>
  <c r="E16" i="10"/>
  <c r="C12" i="10" s="1"/>
  <c r="AB15" i="10"/>
  <c r="AA15" i="10"/>
  <c r="X15" i="10"/>
  <c r="W15" i="10"/>
  <c r="T15" i="10"/>
  <c r="S15" i="10"/>
  <c r="P15" i="10"/>
  <c r="O15" i="10"/>
  <c r="L15" i="10"/>
  <c r="K15" i="10"/>
  <c r="J15" i="10"/>
  <c r="G15" i="10"/>
  <c r="F15" i="10"/>
  <c r="E15" i="10"/>
  <c r="AB13" i="10"/>
  <c r="AA13" i="10"/>
  <c r="Z13" i="10"/>
  <c r="Y13" i="10"/>
  <c r="W13" i="10"/>
  <c r="R13" i="10"/>
  <c r="Q13" i="10"/>
  <c r="O12" i="10"/>
  <c r="N12" i="10"/>
  <c r="M12" i="10"/>
  <c r="J12" i="10"/>
  <c r="I12" i="10"/>
  <c r="H12" i="10"/>
  <c r="K12" i="10" s="1"/>
  <c r="E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U22" i="4" s="1"/>
  <c r="AT55" i="18"/>
  <c r="AT22" i="4" s="1"/>
  <c r="AS55" i="18"/>
  <c r="AC55" i="18"/>
  <c r="AB55" i="18"/>
  <c r="AB22" i="4" s="1"/>
  <c r="AA55" i="18"/>
  <c r="AA22" i="4" s="1"/>
  <c r="Z55" i="18"/>
  <c r="Z22" i="4" s="1"/>
  <c r="Y55" i="18"/>
  <c r="X55" i="18"/>
  <c r="W55" i="18"/>
  <c r="V55" i="18"/>
  <c r="U55" i="18"/>
  <c r="U22" i="4" s="1"/>
  <c r="T55" i="18"/>
  <c r="T22" i="4" s="1"/>
  <c r="S55" i="18"/>
  <c r="S22" i="4" s="1"/>
  <c r="R55" i="18"/>
  <c r="Q55" i="18"/>
  <c r="Q22" i="4" s="1"/>
  <c r="P55" i="18"/>
  <c r="O55" i="18"/>
  <c r="O22" i="4" s="1"/>
  <c r="N55" i="18"/>
  <c r="N22" i="4" s="1"/>
  <c r="M55" i="18"/>
  <c r="M22" i="4" s="1"/>
  <c r="L55" i="18"/>
  <c r="L22" i="4" s="1"/>
  <c r="K55" i="18"/>
  <c r="K22" i="4" s="1"/>
  <c r="J55" i="18"/>
  <c r="J22" i="4" s="1"/>
  <c r="I55" i="18"/>
  <c r="I22" i="4" s="1"/>
  <c r="H55" i="18"/>
  <c r="H22" i="4" s="1"/>
  <c r="G55" i="18"/>
  <c r="G22" i="4" s="1"/>
  <c r="F55" i="18"/>
  <c r="E55" i="18"/>
  <c r="E22" i="4" s="1"/>
  <c r="D55" i="18"/>
  <c r="D22" i="4" s="1"/>
  <c r="AU54" i="18"/>
  <c r="AU12" i="4" s="1"/>
  <c r="AT54" i="18"/>
  <c r="AT12" i="4" s="1"/>
  <c r="AS54" i="18"/>
  <c r="AS12" i="4" s="1"/>
  <c r="AC54" i="18"/>
  <c r="AC12" i="4" s="1"/>
  <c r="AB54" i="18"/>
  <c r="AB12" i="4" s="1"/>
  <c r="AA54" i="18"/>
  <c r="AA12" i="4" s="1"/>
  <c r="Z54" i="18"/>
  <c r="Y54" i="18"/>
  <c r="Y12" i="4" s="1"/>
  <c r="X54" i="18"/>
  <c r="X12" i="4" s="1"/>
  <c r="W54" i="18"/>
  <c r="W12" i="4" s="1"/>
  <c r="V54" i="18"/>
  <c r="V12" i="4" s="1"/>
  <c r="U54" i="18"/>
  <c r="T54" i="18"/>
  <c r="S54" i="18"/>
  <c r="R54" i="18"/>
  <c r="R12" i="4" s="1"/>
  <c r="Q54" i="18"/>
  <c r="Q12" i="4" s="1"/>
  <c r="P54" i="18"/>
  <c r="P12" i="4" s="1"/>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Y22" i="4"/>
  <c r="X22" i="4"/>
  <c r="W22" i="4"/>
  <c r="V22" i="4"/>
  <c r="R22" i="4"/>
  <c r="P22" i="4"/>
  <c r="F22" i="4"/>
  <c r="Z12" i="4"/>
  <c r="U12" i="4"/>
  <c r="T12" i="4"/>
  <c r="S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21" i="10"/>
  <c r="G19" i="10"/>
  <c r="G29" i="10"/>
  <c r="G25" i="10"/>
  <c r="G20" i="10"/>
  <c r="G28" i="10"/>
  <c r="X38" i="10"/>
  <c r="X46" i="10"/>
  <c r="T46" i="10"/>
  <c r="K41" i="10"/>
  <c r="K46" i="10" s="1"/>
  <c r="K47" i="10" s="1"/>
  <c r="K50" i="10" s="1"/>
  <c r="K52" i="10" s="1"/>
  <c r="D11" i="16" s="1"/>
  <c r="F41" i="10"/>
  <c r="F46" i="10" s="1"/>
  <c r="F47" i="10" s="1"/>
  <c r="F50" i="10" s="1"/>
  <c r="F52" i="10" s="1"/>
  <c r="C11" i="16" s="1"/>
  <c r="T13" i="10"/>
  <c r="U13" i="10"/>
  <c r="F12" i="10"/>
  <c r="G24" i="10" l="1"/>
  <c r="G23" i="10" s="1"/>
  <c r="G27" i="10" s="1"/>
  <c r="G31" i="10" l="1"/>
  <c r="G32" i="10" s="1"/>
  <c r="G33" i="10" s="1"/>
  <c r="G26" i="10"/>
  <c r="G30" i="10" s="1"/>
</calcChain>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<sst xmlns="http://schemas.openxmlformats.org/spreadsheetml/2006/main" count="571" uniqueCount="510">
  <si>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</si>
  <si>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</si>
  <si>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</si>
  <si>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</si>
  <si>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</si>
  <si>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</si>
  <si>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</si>
  <si>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</si>
  <si>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</si>
  <si>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</si>
  <si>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</si>
  <si>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</si>
  <si>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</si>
  <si>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</si>
  <si>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</si>
  <si>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</si>
  <si>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</si>
  <si>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</si>
  <si>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</si>
  <si>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</si>
  <si>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</si>
  <si>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</si>
  <si>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</si>
  <si>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</si>
  <si>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</si>
  <si>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</si>
  <si>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</si>
  <si>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</si>
  <si>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</si>
  <si>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</si>
  <si>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</si>
  <si>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</si>
  <si>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</si>
  <si>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</si>
  <si>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</si>
  <si>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</si>
  <si>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</si>
  <si>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</si>
  <si>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</si>
  <si>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</si>
  <si>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</si>
  <si>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</si>
  <si>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</si>
  <si>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</si>
  <si>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</si>
  <si>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</si>
  <si>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</si>
  <si>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</si>
  <si>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</si>
  <si>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</si>
  <si>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</si>
  <si>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</si>
  <si>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</si>
  <si>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</si>
  <si>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</si>
  <si>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</si>
  <si>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</si>
  <si>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</si>
  <si>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</si>
  <si>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</si>
  <si>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</si>
  <si>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</si>
  <si>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</si>
  <si>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</si>
  <si>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</si>
  <si>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</si>
  <si>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</si>
  <si>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</si>
  <si>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</si>
  <si>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</si>
  <si>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</si>
  <si>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</si>
  <si>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</si>
  <si>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</si>
  <si>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</si>
  <si>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</si>
  <si>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</si>
  <si>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</si>
  <si>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</si>
  <si>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</si>
  <si>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</si>
  <si>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</si>
  <si>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</si>
  <si>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</si>
  <si>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</si>
  <si>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</si>
  <si>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</si>
  <si>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</si>
  <si>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</si>
  <si>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</si>
  <si>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</si>
  <si>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</si>
  <si>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</si>
  <si>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</si>
  <si>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</si>
  <si>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</si>
  <si>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</si>
  <si>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</si>
  <si>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</si>
  <si>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</si>
  <si>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</si>
  <si>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</si>
  <si>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</si>
  <si>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</si>
  <si>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</si>
  <si>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</si>
  <si>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</si>
  <si>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</si>
  <si>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</si>
  <si>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</si>
  <si>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</si>
  <si>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</si>
  <si>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</si>
  <si>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</si>
  <si>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</si>
  <si>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</si>
  <si>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</si>
  <si>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</si>
  <si>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</si>
  <si>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</si>
  <si>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</si>
  <si>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</si>
  <si>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</si>
  <si>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</si>
  <si>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</si>
  <si>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</si>
  <si>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</si>
  <si>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</si>
  <si>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</si>
  <si>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</si>
  <si>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</si>
  <si>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</si>
  <si>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</si>
  <si>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</si>
  <si>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</si>
  <si>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</si>
  <si>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</si>
  <si>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</si>
  <si>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</si>
  <si>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</si>
  <si>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</si>
  <si>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</si>
  <si>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</si>
  <si>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</si>
  <si>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</si>
  <si>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</si>
  <si>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</si>
  <si>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</si>
  <si>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</si>
  <si>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</si>
  <si>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</si>
  <si>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</si>
  <si>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</si>
  <si>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</si>
  <si>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</si>
  <si>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</si>
  <si>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</si>
  <si>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</si>
  <si>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</si>
  <si>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</si>
  <si>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</si>
  <si>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</si>
  <si>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</si>
  <si>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</si>
  <si>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</si>
  <si>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</si>
  <si>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</si>
  <si>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</si>
  <si>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</si>
  <si>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</si>
  <si>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</si>
  <si>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</si>
  <si>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</si>
  <si>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</si>
  <si>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</si>
  <si>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</si>
  <si>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</si>
  <si>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</si>
  <si>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</si>
  <si>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</si>
  <si>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</si>
  <si>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</si>
  <si>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</si>
  <si>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</si>
  <si>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</si>
  <si>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</si>
  <si>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</si>
  <si>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</si>
  <si>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</si>
  <si>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</si>
  <si>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</si>
  <si>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</si>
  <si>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</si>
  <si>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</si>
  <si>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</si>
  <si>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</si>
  <si>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</si>
  <si>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</si>
  <si>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</si>
  <si>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</si>
  <si>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</si>
  <si>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</si>
  <si>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</si>
  <si>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</si>
  <si>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</si>
  <si>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</si>
  <si>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</si>
  <si>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</si>
  <si>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</si>
  <si>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</si>
  <si>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</si>
  <si>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</si>
  <si>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</si>
  <si>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</si>
  <si>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</si>
  <si>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</si>
  <si>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</si>
  <si>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</si>
  <si>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</si>
  <si>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</si>
  <si>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</si>
  <si>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</si>
  <si>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</si>
  <si>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</si>
  <si>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</si>
  <si>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</si>
  <si>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</si>
  <si>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</si>
  <si>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</si>
  <si>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</si>
  <si>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</si>
  <si>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</si>
  <si>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</si>
  <si>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</si>
  <si>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</si>
  <si>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</si>
  <si>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</si>
  <si>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</si>
  <si>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</si>
  <si>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</si>
  <si>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</si>
  <si>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</si>
  <si>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</si>
  <si>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</si>
  <si>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</si>
  <si>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</si>
  <si>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</si>
  <si>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</si>
  <si>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</si>
  <si>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</si>
  <si>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</si>
  <si>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</si>
  <si>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</si>
  <si>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</si>
  <si>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</si>
  <si>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</si>
  <si>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</si>
  <si>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</si>
  <si>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</si>
  <si>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</si>
  <si>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</si>
  <si>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</si>
  <si>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</si>
  <si>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</si>
  <si>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</si>
  <si>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</si>
  <si>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</si>
  <si>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</si>
  <si>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</si>
  <si>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</si>
  <si>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</si>
  <si>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</si>
  <si>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</si>
  <si>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</si>
  <si>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</si>
  <si>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</si>
  <si>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</si>
  <si>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</si>
  <si>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</si>
  <si>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</si>
  <si>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</si>
  <si>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</si>
  <si>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</si>
  <si>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</si>
  <si>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</si>
  <si>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</si>
  <si>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</si>
  <si>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</si>
  <si>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</si>
  <si>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</si>
  <si>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</si>
  <si>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</si>
  <si>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</si>
  <si>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</si>
  <si>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</si>
  <si>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</si>
  <si>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</si>
  <si>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</si>
  <si>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</si>
  <si>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</si>
  <si>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</si>
  <si>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</si>
  <si>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</si>
  <si>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</si>
  <si>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</si>
  <si>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</si>
  <si>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</si>
  <si>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</si>
  <si>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</si>
  <si>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</si>
  <si>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</si>
  <si>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</si>
  <si>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</si>
  <si>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</si>
  <si>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</si>
  <si>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</si>
  <si>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</si>
  <si>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</si>
  <si>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</si>
  <si>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</si>
  <si>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</si>
  <si>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</si>
  <si>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</si>
  <si>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</si>
  <si>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</si>
  <si>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</si>
  <si>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</si>
  <si>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</si>
  <si>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</si>
  <si>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</si>
  <si>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</si>
  <si>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</si>
  <si>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</si>
  <si>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</si>
  <si>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</si>
  <si>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</si>
  <si>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</si>
  <si>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</si>
  <si>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</si>
  <si>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</si>
  <si>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</si>
  <si>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</si>
  <si>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</si>
  <si>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</si>
  <si>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</si>
  <si>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</si>
  <si>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</si>
  <si>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</si>
  <si>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</si>
  <si>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</si>
  <si>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</si>
  <si>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</si>
  <si>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</si>
  <si>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</si>
  <si>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</si>
  <si>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</si>
  <si>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</si>
  <si>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</si>
  <si>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</si>
  <si>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</si>
  <si>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</si>
  <si>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</si>
  <si>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</si>
  <si>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</si>
  <si>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</si>
  <si>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</si>
  <si>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</si>
  <si>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</si>
  <si>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</si>
  <si>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</si>
  <si>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</si>
  <si>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</si>
  <si>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</si>
  <si>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</si>
  <si>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</si>
  <si>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</si>
  <si>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</si>
  <si>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</si>
  <si>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</si>
  <si>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</si>
  <si>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</si>
  <si>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</si>
  <si>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</si>
  <si>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</si>
  <si>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</si>
  <si>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</si>
  <si>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</si>
  <si>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</si>
  <si>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</si>
  <si>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</si>
  <si>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</si>
  <si>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</si>
  <si>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</si>
  <si>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</si>
  <si>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</si>
  <si>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</si>
  <si>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</si>
  <si>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</si>
  <si>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</si>
  <si>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</si>
  <si>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</si>
  <si>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</si>
  <si>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</si>
  <si>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</si>
  <si>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</si>
  <si>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</si>
  <si>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</si>
  <si>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</si>
  <si>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</si>
  <si>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</si>
  <si>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</si>
  <si>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</si>
  <si>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</si>
  <si>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</si>
  <si>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</si>
  <si>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</si>
  <si>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</si>
  <si>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</si>
  <si>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</si>
  <si>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</si>
  <si>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</si>
  <si>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</si>
  <si>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</si>
  <si>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</si>
  <si>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</si>
  <si>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</si>
  <si>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</si>
  <si>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</si>
  <si>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</si>
  <si>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</si>
  <si>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</si>
  <si>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</si>
  <si>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</si>
  <si>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</si>
  <si>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</si>
  <si>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</si>
  <si>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</si>
  <si>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</si>
  <si>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</si>
  <si>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</si>
  <si>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</si>
  <si>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</si>
  <si>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</si>
  <si>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</si>
  <si>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</si>
  <si>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</si>
  <si>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</si>
  <si>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</si>
  <si>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</si>
  <si>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</si>
  <si>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</si>
  <si>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</si>
  <si>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</si>
  <si>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</si>
  <si>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</si>
  <si>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</si>
  <si>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</si>
  <si>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</si>
  <si>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</si>
  <si>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</si>
  <si>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</si>
  <si>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</si>
  <si>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</si>
  <si>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</si>
  <si>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</si>
  <si>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</si>
  <si>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</si>
  <si>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</si>
  <si>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</si>
  <si>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</si>
  <si>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</si>
  <si>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</si>
  <si>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</si>
  <si>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</si>
  <si>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</si>
  <si>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</si>
  <si>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</si>
  <si>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</si>
  <si>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</si>
  <si>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</si>
  <si>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</si>
  <si>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</si>
  <si>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</si>
  <si>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</si>
  <si>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</si>
  <si>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</si>
  <si>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</si>
  <si>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</si>
  <si>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</si>
  <si>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</si>
  <si>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</si>
  <si>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</si>
  <si>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</si>
  <si>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</si>
  <si>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</si>
  <si>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</si>
  <si>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</si>
  <si>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</si>
  <si>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</si>
  <si>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</si>
  <si>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</si>
  <si>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</si>
  <si>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</si>
  <si>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97596</t>
  </si>
  <si>
    <t>219</t>
  </si>
  <si>
    <t>Humana Health Plan of Ohio, Inc.</t>
  </si>
  <si>
    <t>Humana Employers Health Plan of Georgia, Inc.</t>
  </si>
  <si>
    <t>Humana Health Plan, Inc.</t>
  </si>
  <si>
    <t>Humana Insurance Company of Kentucky</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</si>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</sst>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176</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11828101</v>
      </c>
      <c r="E5" s="112">
        <f>SUM('Pt 2 Premium and Claims'!E$5,'Pt 2 Premium and Claims'!E$6,-'Pt 2 Premium and Claims'!E$7,-'Pt 2 Premium and Claims'!E$13,'Pt 2 Premium and Claims'!E$14:'Pt 2 Premium and Claims'!E$17)</f>
        <v>13649762.7800001</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15770978</v>
      </c>
      <c r="K5" s="112">
        <f>SUM('Pt 2 Premium and Claims'!K$5,'Pt 2 Premium and Claims'!K$6,-'Pt 2 Premium and Claims'!K$7,-'Pt 2 Premium and Claims'!K$13,'Pt 2 Premium and Claims'!K$14,'Pt 2 Premium and Claims'!K$16:'Pt 2 Premium and Claims'!K$17)</f>
        <v>2982940.5052685984</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7372021</v>
      </c>
      <c r="Q5" s="112">
        <f>SUM('Pt 2 Premium and Claims'!Q$5,'Pt 2 Premium and Claims'!Q$6,-'Pt 2 Premium and Claims'!Q$7,-'Pt 2 Premium and Claims'!Q$13,'Pt 2 Premium and Claims'!Q$14)</f>
        <v>284319.55473119958</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2496680039</v>
      </c>
      <c r="AT5" s="113">
        <f>SUM('Pt 2 Premium and Claims'!AT$5,'Pt 2 Premium and Claims'!AT$6,-'Pt 2 Premium and Claims'!AT$7,-'Pt 2 Premium and Claims'!AT$13,'Pt 2 Premium and Claims'!AT$14)</f>
        <v>29489871</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-15074</v>
      </c>
      <c r="E7" s="116">
        <v>-15074</v>
      </c>
      <c r="F7" s="116"/>
      <c r="G7" s="116"/>
      <c r="H7" s="116"/>
      <c r="I7" s="115"/>
      <c r="J7" s="115">
        <v>-28742</v>
      </c>
      <c r="K7" s="116">
        <v>-5942.1441476845757</v>
      </c>
      <c r="L7" s="116"/>
      <c r="M7" s="116"/>
      <c r="N7" s="116"/>
      <c r="O7" s="115"/>
      <c r="P7" s="115">
        <v>-16824</v>
      </c>
      <c r="Q7" s="116">
        <v>-621.20780493683742</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-27758</v>
      </c>
      <c r="AU7" s="119"/>
      <c r="AV7" s="317"/>
      <c r="AW7" s="324"/>
    </row>
    <row r="8" spans="1:49" ht="25.5" x14ac:dyDescent="0.2">
      <c r="B8" s="161" t="s">
        <v>225</v>
      </c>
      <c r="C8" s="68" t="s">
        <v>59</v>
      </c>
      <c r="D8" s="115">
        <v>-71936</v>
      </c>
      <c r="E8" s="295"/>
      <c r="F8" s="296"/>
      <c r="G8" s="296"/>
      <c r="H8" s="296"/>
      <c r="I8" s="299"/>
      <c r="J8" s="115">
        <v>-25349</v>
      </c>
      <c r="K8" s="295"/>
      <c r="L8" s="296"/>
      <c r="M8" s="296"/>
      <c r="N8" s="296"/>
      <c r="O8" s="299"/>
      <c r="P8" s="115">
        <v>-11355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-1219612</v>
      </c>
      <c r="AT8" s="119">
        <v>-410041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10439437</v>
      </c>
      <c r="E12" s="112">
        <f>'Pt 2 Premium and Claims'!E$54</f>
        <v>10653083.423199998</v>
      </c>
      <c r="F12" s="112">
        <f>'Pt 2 Premium and Claims'!F$54</f>
        <v>0</v>
      </c>
      <c r="G12" s="112">
        <f>'Pt 2 Premium and Claims'!G$54</f>
        <v>0</v>
      </c>
      <c r="H12" s="112">
        <f>'Pt 2 Premium and Claims'!H$54</f>
        <v>0</v>
      </c>
      <c r="I12" s="111">
        <f>'Pt 2 Premium and Claims'!I$54</f>
        <v>0</v>
      </c>
      <c r="J12" s="111">
        <f>'Pt 2 Premium and Claims'!J$54</f>
        <v>9433873</v>
      </c>
      <c r="K12" s="112">
        <f>'Pt 2 Premium and Claims'!K$54</f>
        <v>1507129.3302652296</v>
      </c>
      <c r="L12" s="112">
        <f>'Pt 2 Premium and Claims'!L$54</f>
        <v>0</v>
      </c>
      <c r="M12" s="112">
        <f>'Pt 2 Premium and Claims'!M$54</f>
        <v>0</v>
      </c>
      <c r="N12" s="112">
        <f>'Pt 2 Premium and Claims'!N$54</f>
        <v>0</v>
      </c>
      <c r="O12" s="111">
        <f>'Pt 2 Premium and Claims'!O$54</f>
        <v>0</v>
      </c>
      <c r="P12" s="111">
        <f>'Pt 2 Premium and Claims'!P$54</f>
        <v>9314478</v>
      </c>
      <c r="Q12" s="112">
        <f>'Pt 2 Premium and Claims'!Q$54</f>
        <v>160116.015734771</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2168939379</v>
      </c>
      <c r="AT12" s="113">
        <f>'Pt 2 Premium and Claims'!AT$54</f>
        <v>22437875</v>
      </c>
      <c r="AU12" s="113">
        <f>'Pt 2 Premium and Claims'!AU$54</f>
        <v>0</v>
      </c>
      <c r="AV12" s="318"/>
      <c r="AW12" s="323"/>
    </row>
    <row r="13" spans="1:49" ht="25.5" x14ac:dyDescent="0.2">
      <c r="B13" s="161" t="s">
        <v>230</v>
      </c>
      <c r="C13" s="68" t="s">
        <v>37</v>
      </c>
      <c r="D13" s="115">
        <v>1504961</v>
      </c>
      <c r="E13" s="116">
        <v>1510983.8499999999</v>
      </c>
      <c r="F13" s="116"/>
      <c r="G13" s="295"/>
      <c r="H13" s="296"/>
      <c r="I13" s="115"/>
      <c r="J13" s="115">
        <v>322760</v>
      </c>
      <c r="K13" s="116">
        <v>322610.060354591</v>
      </c>
      <c r="L13" s="116"/>
      <c r="M13" s="295"/>
      <c r="N13" s="296"/>
      <c r="O13" s="115"/>
      <c r="P13" s="115">
        <v>12281</v>
      </c>
      <c r="Q13" s="116">
        <v>12934.589645408621</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218125438</v>
      </c>
      <c r="AT13" s="119">
        <v>864</v>
      </c>
      <c r="AU13" s="119"/>
      <c r="AV13" s="317"/>
      <c r="AW13" s="324"/>
    </row>
    <row r="14" spans="1:49" ht="25.5" x14ac:dyDescent="0.2">
      <c r="B14" s="161" t="s">
        <v>231</v>
      </c>
      <c r="C14" s="68" t="s">
        <v>6</v>
      </c>
      <c r="D14" s="115">
        <v>115635</v>
      </c>
      <c r="E14" s="116">
        <v>122883.69</v>
      </c>
      <c r="F14" s="116"/>
      <c r="G14" s="294"/>
      <c r="H14" s="297"/>
      <c r="I14" s="115"/>
      <c r="J14" s="115">
        <v>35588</v>
      </c>
      <c r="K14" s="116">
        <v>34349.639999999992</v>
      </c>
      <c r="L14" s="116"/>
      <c r="M14" s="294"/>
      <c r="N14" s="297"/>
      <c r="O14" s="115"/>
      <c r="P14" s="115">
        <v>1274</v>
      </c>
      <c r="Q14" s="116">
        <v>1438.62</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57345770</v>
      </c>
      <c r="AT14" s="119">
        <v>407</v>
      </c>
      <c r="AU14" s="119"/>
      <c r="AV14" s="317"/>
      <c r="AW14" s="324"/>
    </row>
    <row r="15" spans="1:49" ht="38.25" x14ac:dyDescent="0.2">
      <c r="B15" s="161" t="s">
        <v>232</v>
      </c>
      <c r="C15" s="68" t="s">
        <v>7</v>
      </c>
      <c r="D15" s="115">
        <v>409</v>
      </c>
      <c r="E15" s="116">
        <v>409</v>
      </c>
      <c r="F15" s="116"/>
      <c r="G15" s="294"/>
      <c r="H15" s="300"/>
      <c r="I15" s="115"/>
      <c r="J15" s="115">
        <v>665</v>
      </c>
      <c r="K15" s="116">
        <v>665</v>
      </c>
      <c r="L15" s="116"/>
      <c r="M15" s="294"/>
      <c r="N15" s="300"/>
      <c r="O15" s="115"/>
      <c r="P15" s="115">
        <v>234</v>
      </c>
      <c r="Q15" s="116">
        <v>234</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80475</v>
      </c>
      <c r="AT15" s="119">
        <v>1480</v>
      </c>
      <c r="AU15" s="119"/>
      <c r="AV15" s="317"/>
      <c r="AW15" s="324"/>
    </row>
    <row r="16" spans="1:49" ht="25.5" x14ac:dyDescent="0.2">
      <c r="B16" s="161" t="s">
        <v>233</v>
      </c>
      <c r="C16" s="68" t="s">
        <v>61</v>
      </c>
      <c r="D16" s="115">
        <v>-1670399</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-931643</v>
      </c>
      <c r="AT16" s="119">
        <v>76811</v>
      </c>
      <c r="AU16" s="119"/>
      <c r="AV16" s="317"/>
      <c r="AW16" s="324"/>
    </row>
    <row r="17" spans="1:49" x14ac:dyDescent="0.2">
      <c r="B17" s="161" t="s">
        <v>234</v>
      </c>
      <c r="C17" s="68" t="s">
        <v>62</v>
      </c>
      <c r="D17" s="115"/>
      <c r="E17" s="294"/>
      <c r="F17" s="297"/>
      <c r="G17" s="297"/>
      <c r="H17" s="297"/>
      <c r="I17" s="298"/>
      <c r="J17" s="115">
        <v>-28023</v>
      </c>
      <c r="K17" s="294"/>
      <c r="L17" s="297"/>
      <c r="M17" s="297"/>
      <c r="N17" s="297"/>
      <c r="O17" s="298"/>
      <c r="P17" s="115">
        <v>5665</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-255112</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6234</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34257</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4821</v>
      </c>
      <c r="E22" s="121">
        <f>'Pt 2 Premium and Claims'!E$55</f>
        <v>4821</v>
      </c>
      <c r="F22" s="121">
        <f>'Pt 2 Premium and Claims'!F$55</f>
        <v>0</v>
      </c>
      <c r="G22" s="121">
        <f>'Pt 2 Premium and Claims'!G$55</f>
        <v>0</v>
      </c>
      <c r="H22" s="121">
        <f>'Pt 2 Premium and Claims'!H$55</f>
        <v>0</v>
      </c>
      <c r="I22" s="120">
        <f>'Pt 2 Premium and Claims'!I$55</f>
        <v>0</v>
      </c>
      <c r="J22" s="120">
        <f>'Pt 2 Premium and Claims'!J$55</f>
        <v>4837</v>
      </c>
      <c r="K22" s="121">
        <f>'Pt 2 Premium and Claims'!K$55</f>
        <v>471.46999999999935</v>
      </c>
      <c r="L22" s="121">
        <f>'Pt 2 Premium and Claims'!L$55</f>
        <v>0</v>
      </c>
      <c r="M22" s="121">
        <f>'Pt 2 Premium and Claims'!M$55</f>
        <v>0</v>
      </c>
      <c r="N22" s="121">
        <f>'Pt 2 Premium and Claims'!N$55</f>
        <v>0</v>
      </c>
      <c r="O22" s="120">
        <f>'Pt 2 Premium and Claims'!O$55</f>
        <v>0</v>
      </c>
      <c r="P22" s="120">
        <f>'Pt 2 Premium and Claims'!P$55</f>
        <v>759</v>
      </c>
      <c r="Q22" s="121">
        <f>'Pt 2 Premium and Claims'!Q$55</f>
        <v>539.54</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68148.126850000001</v>
      </c>
      <c r="E25" s="116">
        <v>68148.126850000001</v>
      </c>
      <c r="F25" s="116"/>
      <c r="G25" s="116"/>
      <c r="H25" s="116"/>
      <c r="I25" s="115"/>
      <c r="J25" s="115">
        <v>1303791.0660000001</v>
      </c>
      <c r="K25" s="116">
        <v>269546.81137830834</v>
      </c>
      <c r="L25" s="116"/>
      <c r="M25" s="116"/>
      <c r="N25" s="116"/>
      <c r="O25" s="115"/>
      <c r="P25" s="115">
        <v>-858780.70739999996</v>
      </c>
      <c r="Q25" s="116">
        <v>-31709.538645153283</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36114789.210000001</v>
      </c>
      <c r="AT25" s="119">
        <v>604463.80220000003</v>
      </c>
      <c r="AU25" s="119"/>
      <c r="AV25" s="119"/>
      <c r="AW25" s="324"/>
    </row>
    <row r="26" spans="1:49" s="11" customFormat="1" x14ac:dyDescent="0.2">
      <c r="A26" s="41"/>
      <c r="B26" s="164" t="s">
        <v>243</v>
      </c>
      <c r="C26" s="68"/>
      <c r="D26" s="115"/>
      <c r="E26" s="116">
        <v>7816.25</v>
      </c>
      <c r="F26" s="116"/>
      <c r="G26" s="116"/>
      <c r="H26" s="116"/>
      <c r="I26" s="115"/>
      <c r="J26" s="115"/>
      <c r="K26" s="116">
        <v>1585.9376402849166</v>
      </c>
      <c r="L26" s="116"/>
      <c r="M26" s="116"/>
      <c r="N26" s="116"/>
      <c r="O26" s="115"/>
      <c r="P26" s="115"/>
      <c r="Q26" s="116">
        <v>135.07909681874025</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147446.82999999999</v>
      </c>
      <c r="E27" s="116">
        <v>147446.82999999999</v>
      </c>
      <c r="F27" s="116"/>
      <c r="G27" s="116"/>
      <c r="H27" s="116"/>
      <c r="I27" s="115"/>
      <c r="J27" s="115">
        <v>196877.75</v>
      </c>
      <c r="K27" s="116">
        <v>40702.664044666599</v>
      </c>
      <c r="L27" s="116"/>
      <c r="M27" s="116"/>
      <c r="N27" s="116"/>
      <c r="O27" s="115"/>
      <c r="P27" s="115">
        <v>89070.420000000027</v>
      </c>
      <c r="Q27" s="116">
        <v>3288.8278704827826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30104274.880000003</v>
      </c>
      <c r="AT27" s="119">
        <v>98955.300000000017</v>
      </c>
      <c r="AU27" s="119"/>
      <c r="AV27" s="320"/>
      <c r="AW27" s="324"/>
    </row>
    <row r="28" spans="1:49" s="11" customFormat="1" x14ac:dyDescent="0.2">
      <c r="A28" s="41"/>
      <c r="B28" s="164" t="s">
        <v>245</v>
      </c>
      <c r="C28" s="68"/>
      <c r="D28" s="115">
        <v>189157.30000000002</v>
      </c>
      <c r="E28" s="116">
        <v>38055.71</v>
      </c>
      <c r="F28" s="116"/>
      <c r="G28" s="116"/>
      <c r="H28" s="116"/>
      <c r="I28" s="115"/>
      <c r="J28" s="115">
        <v>210765.43000000002</v>
      </c>
      <c r="K28" s="116">
        <v>5745.7879356204758</v>
      </c>
      <c r="L28" s="116"/>
      <c r="M28" s="116"/>
      <c r="N28" s="116"/>
      <c r="O28" s="115"/>
      <c r="P28" s="115">
        <v>112520.05999999998</v>
      </c>
      <c r="Q28" s="116">
        <v>484.92166561076374</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99625.919999999984</v>
      </c>
      <c r="AT28" s="119">
        <v>7160.1399999999994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8236.5098760000001</v>
      </c>
      <c r="E30" s="116">
        <v>12137.949876000001</v>
      </c>
      <c r="F30" s="116"/>
      <c r="G30" s="116"/>
      <c r="H30" s="116"/>
      <c r="I30" s="115"/>
      <c r="J30" s="115">
        <v>93067.122610000006</v>
      </c>
      <c r="K30" s="116">
        <v>19831.351533435853</v>
      </c>
      <c r="L30" s="116"/>
      <c r="M30" s="116"/>
      <c r="N30" s="116"/>
      <c r="O30" s="115"/>
      <c r="P30" s="115">
        <v>-57673.312130000006</v>
      </c>
      <c r="Q30" s="116">
        <v>-2079.8480444165834</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2750424.3999999985</v>
      </c>
      <c r="AT30" s="119">
        <v>48914.957809999971</v>
      </c>
      <c r="AU30" s="119"/>
      <c r="AV30" s="119"/>
      <c r="AW30" s="324"/>
    </row>
    <row r="31" spans="1:49" x14ac:dyDescent="0.2">
      <c r="B31" s="164" t="s">
        <v>248</v>
      </c>
      <c r="C31" s="68"/>
      <c r="D31" s="115">
        <v>112233.43000000001</v>
      </c>
      <c r="E31" s="116">
        <v>103330.16</v>
      </c>
      <c r="F31" s="116"/>
      <c r="G31" s="116"/>
      <c r="H31" s="116"/>
      <c r="I31" s="115"/>
      <c r="J31" s="115">
        <v>147216.01</v>
      </c>
      <c r="K31" s="116">
        <v>30435.556059667884</v>
      </c>
      <c r="L31" s="116"/>
      <c r="M31" s="116"/>
      <c r="N31" s="116"/>
      <c r="O31" s="115"/>
      <c r="P31" s="115">
        <v>64503.979999999996</v>
      </c>
      <c r="Q31" s="116">
        <v>2381.7389339924921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265267.86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232539.46</v>
      </c>
      <c r="F34" s="116"/>
      <c r="G34" s="116"/>
      <c r="H34" s="116"/>
      <c r="I34" s="115"/>
      <c r="J34" s="115"/>
      <c r="K34" s="116">
        <v>41643.109348919737</v>
      </c>
      <c r="L34" s="116"/>
      <c r="M34" s="116"/>
      <c r="N34" s="116"/>
      <c r="O34" s="115"/>
      <c r="P34" s="115"/>
      <c r="Q34" s="116">
        <v>4004.9862397652614</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10527.080000000002</v>
      </c>
      <c r="E35" s="116">
        <v>11602.340000000002</v>
      </c>
      <c r="F35" s="116"/>
      <c r="G35" s="116"/>
      <c r="H35" s="116"/>
      <c r="I35" s="115"/>
      <c r="J35" s="115">
        <v>8129.79</v>
      </c>
      <c r="K35" s="116">
        <v>1850.3549919655798</v>
      </c>
      <c r="L35" s="116"/>
      <c r="M35" s="116"/>
      <c r="N35" s="116"/>
      <c r="O35" s="115"/>
      <c r="P35" s="115">
        <v>3770.4500000000003</v>
      </c>
      <c r="Q35" s="116">
        <v>139.21715903339009</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960742.74</v>
      </c>
      <c r="AT35" s="119">
        <v>17188.47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35838</v>
      </c>
      <c r="E37" s="124">
        <v>35838.26</v>
      </c>
      <c r="F37" s="124"/>
      <c r="G37" s="124"/>
      <c r="H37" s="124"/>
      <c r="I37" s="123"/>
      <c r="J37" s="123">
        <v>37303</v>
      </c>
      <c r="K37" s="124">
        <v>9084.2800000000007</v>
      </c>
      <c r="L37" s="124"/>
      <c r="M37" s="124"/>
      <c r="N37" s="124"/>
      <c r="O37" s="123"/>
      <c r="P37" s="123">
        <v>16254.999999999998</v>
      </c>
      <c r="Q37" s="124">
        <v>925.29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13828886</v>
      </c>
      <c r="AT37" s="125">
        <v>1319</v>
      </c>
      <c r="AU37" s="125"/>
      <c r="AV37" s="125"/>
      <c r="AW37" s="323"/>
    </row>
    <row r="38" spans="1:49" x14ac:dyDescent="0.2">
      <c r="B38" s="161" t="s">
        <v>255</v>
      </c>
      <c r="C38" s="68" t="s">
        <v>16</v>
      </c>
      <c r="D38" s="115">
        <v>7396</v>
      </c>
      <c r="E38" s="116">
        <v>7396.29</v>
      </c>
      <c r="F38" s="116"/>
      <c r="G38" s="116"/>
      <c r="H38" s="116"/>
      <c r="I38" s="115"/>
      <c r="J38" s="115">
        <v>23991</v>
      </c>
      <c r="K38" s="116">
        <v>3710.3900000000003</v>
      </c>
      <c r="L38" s="116"/>
      <c r="M38" s="116"/>
      <c r="N38" s="116"/>
      <c r="O38" s="115"/>
      <c r="P38" s="115">
        <v>11301</v>
      </c>
      <c r="Q38" s="116">
        <v>357.63999999999947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5789568</v>
      </c>
      <c r="AT38" s="119">
        <v>14</v>
      </c>
      <c r="AU38" s="119"/>
      <c r="AV38" s="119"/>
      <c r="AW38" s="324"/>
    </row>
    <row r="39" spans="1:49" x14ac:dyDescent="0.2">
      <c r="B39" s="164" t="s">
        <v>256</v>
      </c>
      <c r="C39" s="68" t="s">
        <v>17</v>
      </c>
      <c r="D39" s="115">
        <v>17329</v>
      </c>
      <c r="E39" s="116">
        <v>17329.2</v>
      </c>
      <c r="F39" s="116"/>
      <c r="G39" s="116"/>
      <c r="H39" s="116"/>
      <c r="I39" s="115"/>
      <c r="J39" s="115">
        <v>7867</v>
      </c>
      <c r="K39" s="116">
        <v>3368.5600000000004</v>
      </c>
      <c r="L39" s="116"/>
      <c r="M39" s="116"/>
      <c r="N39" s="116"/>
      <c r="O39" s="115"/>
      <c r="P39" s="115">
        <v>3124</v>
      </c>
      <c r="Q39" s="116">
        <v>654.60999999999979</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3716357</v>
      </c>
      <c r="AT39" s="119">
        <v>5819</v>
      </c>
      <c r="AU39" s="119"/>
      <c r="AV39" s="119"/>
      <c r="AW39" s="324"/>
    </row>
    <row r="40" spans="1:49" x14ac:dyDescent="0.2">
      <c r="B40" s="164" t="s">
        <v>257</v>
      </c>
      <c r="C40" s="68" t="s">
        <v>38</v>
      </c>
      <c r="D40" s="115">
        <v>75885</v>
      </c>
      <c r="E40" s="116">
        <v>75885.450000000012</v>
      </c>
      <c r="F40" s="116"/>
      <c r="G40" s="116"/>
      <c r="H40" s="116"/>
      <c r="I40" s="115"/>
      <c r="J40" s="115">
        <v>56869</v>
      </c>
      <c r="K40" s="116">
        <v>43440.310000000005</v>
      </c>
      <c r="L40" s="116"/>
      <c r="M40" s="116"/>
      <c r="N40" s="116"/>
      <c r="O40" s="115"/>
      <c r="P40" s="115">
        <v>9825</v>
      </c>
      <c r="Q40" s="116">
        <v>2522.6699999999992</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19721600</v>
      </c>
      <c r="AT40" s="119">
        <v>82616</v>
      </c>
      <c r="AU40" s="119"/>
      <c r="AV40" s="119"/>
      <c r="AW40" s="324"/>
    </row>
    <row r="41" spans="1:49" s="11" customFormat="1" ht="25.5" x14ac:dyDescent="0.2">
      <c r="A41" s="41"/>
      <c r="B41" s="164" t="s">
        <v>258</v>
      </c>
      <c r="C41" s="68" t="s">
        <v>129</v>
      </c>
      <c r="D41" s="115">
        <v>16806</v>
      </c>
      <c r="E41" s="116">
        <v>16806.129999999997</v>
      </c>
      <c r="F41" s="116"/>
      <c r="G41" s="116"/>
      <c r="H41" s="116"/>
      <c r="I41" s="115"/>
      <c r="J41" s="115">
        <v>15251</v>
      </c>
      <c r="K41" s="116">
        <v>2268.9500000000003</v>
      </c>
      <c r="L41" s="116"/>
      <c r="M41" s="116"/>
      <c r="N41" s="116"/>
      <c r="O41" s="115"/>
      <c r="P41" s="115">
        <v>7591</v>
      </c>
      <c r="Q41" s="116">
        <v>212.93</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3939282</v>
      </c>
      <c r="AT41" s="119">
        <v>25513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141467</v>
      </c>
      <c r="E44" s="124">
        <v>141467</v>
      </c>
      <c r="F44" s="124"/>
      <c r="G44" s="124"/>
      <c r="H44" s="124"/>
      <c r="I44" s="123"/>
      <c r="J44" s="123">
        <v>109067</v>
      </c>
      <c r="K44" s="124">
        <v>17456.113814500321</v>
      </c>
      <c r="L44" s="124"/>
      <c r="M44" s="124"/>
      <c r="N44" s="124"/>
      <c r="O44" s="123"/>
      <c r="P44" s="123">
        <v>41290</v>
      </c>
      <c r="Q44" s="124">
        <v>1287.0482471991345</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21949203</v>
      </c>
      <c r="AT44" s="125">
        <v>64720</v>
      </c>
      <c r="AU44" s="125"/>
      <c r="AV44" s="125"/>
      <c r="AW44" s="323"/>
    </row>
    <row r="45" spans="1:49" x14ac:dyDescent="0.2">
      <c r="B45" s="167" t="s">
        <v>262</v>
      </c>
      <c r="C45" s="68" t="s">
        <v>19</v>
      </c>
      <c r="D45" s="115">
        <v>145121</v>
      </c>
      <c r="E45" s="116">
        <v>145121</v>
      </c>
      <c r="F45" s="116"/>
      <c r="G45" s="116"/>
      <c r="H45" s="116"/>
      <c r="I45" s="115"/>
      <c r="J45" s="115">
        <v>38910</v>
      </c>
      <c r="K45" s="116">
        <v>6227.5242605206695</v>
      </c>
      <c r="L45" s="116"/>
      <c r="M45" s="116"/>
      <c r="N45" s="116"/>
      <c r="O45" s="115"/>
      <c r="P45" s="115">
        <v>7848</v>
      </c>
      <c r="Q45" s="116">
        <v>244.62956270328959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18484548</v>
      </c>
      <c r="AT45" s="119">
        <v>221322</v>
      </c>
      <c r="AU45" s="119"/>
      <c r="AV45" s="119"/>
      <c r="AW45" s="324"/>
    </row>
    <row r="46" spans="1:49" x14ac:dyDescent="0.2">
      <c r="B46" s="167" t="s">
        <v>263</v>
      </c>
      <c r="C46" s="68" t="s">
        <v>20</v>
      </c>
      <c r="D46" s="115">
        <v>160700</v>
      </c>
      <c r="E46" s="116">
        <v>160700</v>
      </c>
      <c r="F46" s="116"/>
      <c r="G46" s="116"/>
      <c r="H46" s="116"/>
      <c r="I46" s="115"/>
      <c r="J46" s="115">
        <v>67594</v>
      </c>
      <c r="K46" s="116">
        <v>10818.382803023233</v>
      </c>
      <c r="L46" s="116"/>
      <c r="M46" s="116"/>
      <c r="N46" s="116"/>
      <c r="O46" s="115"/>
      <c r="P46" s="115">
        <v>33066</v>
      </c>
      <c r="Q46" s="116">
        <v>1030.6984098301436</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12891469</v>
      </c>
      <c r="AT46" s="119">
        <v>125955</v>
      </c>
      <c r="AU46" s="119"/>
      <c r="AV46" s="119"/>
      <c r="AW46" s="324"/>
    </row>
    <row r="47" spans="1:49" x14ac:dyDescent="0.2">
      <c r="B47" s="167" t="s">
        <v>264</v>
      </c>
      <c r="C47" s="68" t="s">
        <v>21</v>
      </c>
      <c r="D47" s="115">
        <v>508811</v>
      </c>
      <c r="E47" s="116">
        <v>508811</v>
      </c>
      <c r="F47" s="116"/>
      <c r="G47" s="116"/>
      <c r="H47" s="116"/>
      <c r="I47" s="115"/>
      <c r="J47" s="115">
        <v>599329</v>
      </c>
      <c r="K47" s="116">
        <v>95922.279299244168</v>
      </c>
      <c r="L47" s="116"/>
      <c r="M47" s="116"/>
      <c r="N47" s="116"/>
      <c r="O47" s="115"/>
      <c r="P47" s="115">
        <v>38344</v>
      </c>
      <c r="Q47" s="116">
        <v>1195.2186483556216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10746367</v>
      </c>
      <c r="AT47" s="119">
        <v>2046050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123686.54012400002</v>
      </c>
      <c r="E49" s="116">
        <v>82875.360124000013</v>
      </c>
      <c r="F49" s="116"/>
      <c r="G49" s="116"/>
      <c r="H49" s="116"/>
      <c r="I49" s="115"/>
      <c r="J49" s="115">
        <v>-37062.352610000002</v>
      </c>
      <c r="K49" s="116">
        <v>-10701.53111428595</v>
      </c>
      <c r="L49" s="116"/>
      <c r="M49" s="116"/>
      <c r="N49" s="116"/>
      <c r="O49" s="115"/>
      <c r="P49" s="115">
        <v>89387.292129999973</v>
      </c>
      <c r="Q49" s="116">
        <v>2347.3220260977687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5253201.47</v>
      </c>
      <c r="AT49" s="119">
        <v>98074.032189999984</v>
      </c>
      <c r="AU49" s="119"/>
      <c r="AV49" s="119"/>
      <c r="AW49" s="324"/>
    </row>
    <row r="50" spans="2:49" ht="25.5" x14ac:dyDescent="0.2">
      <c r="B50" s="161" t="s">
        <v>266</v>
      </c>
      <c r="C50" s="68"/>
      <c r="D50" s="115">
        <v>553.25</v>
      </c>
      <c r="E50" s="116">
        <v>553.25</v>
      </c>
      <c r="F50" s="116"/>
      <c r="G50" s="116"/>
      <c r="H50" s="116"/>
      <c r="I50" s="115"/>
      <c r="J50" s="115">
        <v>405.42999999999978</v>
      </c>
      <c r="K50" s="116">
        <v>64.88885019128486</v>
      </c>
      <c r="L50" s="116"/>
      <c r="M50" s="116"/>
      <c r="N50" s="116"/>
      <c r="O50" s="115"/>
      <c r="P50" s="115">
        <v>185.32999999999993</v>
      </c>
      <c r="Q50" s="116">
        <v>5.7769109143476669</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60135.25</v>
      </c>
      <c r="AT50" s="119">
        <v>818.93000000000006</v>
      </c>
      <c r="AU50" s="119"/>
      <c r="AV50" s="119"/>
      <c r="AW50" s="324"/>
    </row>
    <row r="51" spans="2:49" x14ac:dyDescent="0.2">
      <c r="B51" s="161" t="s">
        <v>267</v>
      </c>
      <c r="C51" s="68"/>
      <c r="D51" s="115">
        <v>1163016</v>
      </c>
      <c r="E51" s="116">
        <v>1163016</v>
      </c>
      <c r="F51" s="116"/>
      <c r="G51" s="116"/>
      <c r="H51" s="116"/>
      <c r="I51" s="115"/>
      <c r="J51" s="115">
        <v>851376</v>
      </c>
      <c r="K51" s="116">
        <v>136262.26406643656</v>
      </c>
      <c r="L51" s="116"/>
      <c r="M51" s="116"/>
      <c r="N51" s="116"/>
      <c r="O51" s="115"/>
      <c r="P51" s="115">
        <v>405582</v>
      </c>
      <c r="Q51" s="116">
        <v>12642.373509215773</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95761428</v>
      </c>
      <c r="AT51" s="119">
        <v>1745540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2282</v>
      </c>
      <c r="E56" s="128">
        <v>2223</v>
      </c>
      <c r="F56" s="128"/>
      <c r="G56" s="128"/>
      <c r="H56" s="128"/>
      <c r="I56" s="127"/>
      <c r="J56" s="127">
        <v>12290</v>
      </c>
      <c r="K56" s="128">
        <v>279</v>
      </c>
      <c r="L56" s="128"/>
      <c r="M56" s="128"/>
      <c r="N56" s="128"/>
      <c r="O56" s="127"/>
      <c r="P56" s="127">
        <v>10441</v>
      </c>
      <c r="Q56" s="128">
        <v>18</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326916</v>
      </c>
      <c r="AT56" s="129">
        <v>79554</v>
      </c>
      <c r="AU56" s="129"/>
      <c r="AV56" s="129"/>
      <c r="AW56" s="315"/>
    </row>
    <row r="57" spans="2:49" x14ac:dyDescent="0.2">
      <c r="B57" s="167" t="s">
        <v>273</v>
      </c>
      <c r="C57" s="68" t="s">
        <v>25</v>
      </c>
      <c r="D57" s="130">
        <v>3834</v>
      </c>
      <c r="E57" s="131">
        <v>3808</v>
      </c>
      <c r="F57" s="131"/>
      <c r="G57" s="131"/>
      <c r="H57" s="131"/>
      <c r="I57" s="130"/>
      <c r="J57" s="130">
        <v>21521</v>
      </c>
      <c r="K57" s="131">
        <v>565</v>
      </c>
      <c r="L57" s="131"/>
      <c r="M57" s="131"/>
      <c r="N57" s="131"/>
      <c r="O57" s="130"/>
      <c r="P57" s="130">
        <v>15294</v>
      </c>
      <c r="Q57" s="131">
        <v>47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330681</v>
      </c>
      <c r="AT57" s="132">
        <v>160796</v>
      </c>
      <c r="AU57" s="132"/>
      <c r="AV57" s="132"/>
      <c r="AW57" s="316"/>
    </row>
    <row r="58" spans="2:49" x14ac:dyDescent="0.2">
      <c r="B58" s="167" t="s">
        <v>274</v>
      </c>
      <c r="C58" s="68" t="s">
        <v>26</v>
      </c>
      <c r="D58" s="336"/>
      <c r="E58" s="337"/>
      <c r="F58" s="337"/>
      <c r="G58" s="337"/>
      <c r="H58" s="337"/>
      <c r="I58" s="336"/>
      <c r="J58" s="130">
        <v>51</v>
      </c>
      <c r="K58" s="131">
        <v>51</v>
      </c>
      <c r="L58" s="131"/>
      <c r="M58" s="131"/>
      <c r="N58" s="131"/>
      <c r="O58" s="130"/>
      <c r="P58" s="130">
        <v>4</v>
      </c>
      <c r="Q58" s="131">
        <v>4</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64</v>
      </c>
      <c r="AT58" s="132">
        <v>1717</v>
      </c>
      <c r="AU58" s="132"/>
      <c r="AV58" s="132"/>
      <c r="AW58" s="316"/>
    </row>
    <row r="59" spans="2:49" x14ac:dyDescent="0.2">
      <c r="B59" s="167" t="s">
        <v>275</v>
      </c>
      <c r="C59" s="68" t="s">
        <v>27</v>
      </c>
      <c r="D59" s="130">
        <v>45138</v>
      </c>
      <c r="E59" s="131">
        <v>45174</v>
      </c>
      <c r="F59" s="131"/>
      <c r="G59" s="131"/>
      <c r="H59" s="131"/>
      <c r="I59" s="130"/>
      <c r="J59" s="130">
        <v>286906</v>
      </c>
      <c r="K59" s="131">
        <v>6861</v>
      </c>
      <c r="L59" s="131"/>
      <c r="M59" s="131"/>
      <c r="N59" s="131"/>
      <c r="O59" s="130"/>
      <c r="P59" s="130">
        <v>197334</v>
      </c>
      <c r="Q59" s="131">
        <v>690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3915659</v>
      </c>
      <c r="AT59" s="132">
        <v>1303810</v>
      </c>
      <c r="AU59" s="132"/>
      <c r="AV59" s="132"/>
      <c r="AW59" s="316"/>
    </row>
    <row r="60" spans="2:49" x14ac:dyDescent="0.2">
      <c r="B60" s="167" t="s">
        <v>276</v>
      </c>
      <c r="C60" s="68"/>
      <c r="D60" s="133">
        <f>D$59/12</f>
        <v>3761.5</v>
      </c>
      <c r="E60" s="134">
        <f>E$59/12</f>
        <v>3764.5</v>
      </c>
      <c r="F60" s="134">
        <f>F$59/12</f>
        <v>0</v>
      </c>
      <c r="G60" s="134">
        <f>G$59/12</f>
        <v>0</v>
      </c>
      <c r="H60" s="134">
        <f>H$59/12</f>
        <v>0</v>
      </c>
      <c r="I60" s="133">
        <f>I$59/12</f>
        <v>0</v>
      </c>
      <c r="J60" s="133">
        <f>J$59/12</f>
        <v>23908.833333333332</v>
      </c>
      <c r="K60" s="134">
        <f>K$59/12</f>
        <v>571.75</v>
      </c>
      <c r="L60" s="134">
        <f>L$59/12</f>
        <v>0</v>
      </c>
      <c r="M60" s="134">
        <f>M$59/12</f>
        <v>0</v>
      </c>
      <c r="N60" s="134">
        <f>N$59/12</f>
        <v>0</v>
      </c>
      <c r="O60" s="133">
        <f>O$59/12</f>
        <v>0</v>
      </c>
      <c r="P60" s="133">
        <f>P$59/12</f>
        <v>16444.5</v>
      </c>
      <c r="Q60" s="134">
        <f>Q$59/12</f>
        <v>57.5</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326304.91666666669</v>
      </c>
      <c r="AT60" s="135">
        <f>AT$59/12</f>
        <v>108650.83333333333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11822961</v>
      </c>
      <c r="E5" s="124">
        <v>11312075.8700001</v>
      </c>
      <c r="F5" s="124"/>
      <c r="G5" s="136"/>
      <c r="H5" s="136"/>
      <c r="I5" s="123"/>
      <c r="J5" s="123">
        <v>15770978</v>
      </c>
      <c r="K5" s="124">
        <v>3193495.1452685986</v>
      </c>
      <c r="L5" s="124"/>
      <c r="M5" s="124"/>
      <c r="N5" s="124"/>
      <c r="O5" s="123"/>
      <c r="P5" s="123">
        <v>7372021</v>
      </c>
      <c r="Q5" s="124">
        <v>284319.55473119958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2496680039</v>
      </c>
      <c r="AT5" s="125">
        <v>29586387</v>
      </c>
      <c r="AU5" s="125"/>
      <c r="AV5" s="318"/>
      <c r="AW5" s="323"/>
    </row>
    <row r="6" spans="2:49" x14ac:dyDescent="0.2">
      <c r="B6" s="182" t="s">
        <v>279</v>
      </c>
      <c r="C6" s="139" t="s">
        <v>8</v>
      </c>
      <c r="D6" s="115">
        <v>56546</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34515</v>
      </c>
      <c r="AU6" s="119"/>
      <c r="AV6" s="317"/>
      <c r="AW6" s="324"/>
    </row>
    <row r="7" spans="2:49" x14ac:dyDescent="0.2">
      <c r="B7" s="182" t="s">
        <v>280</v>
      </c>
      <c r="C7" s="139" t="s">
        <v>9</v>
      </c>
      <c r="D7" s="115">
        <v>51406</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131031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v>20842</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-0.36000000000058208</v>
      </c>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26449622</v>
      </c>
      <c r="AT11" s="119"/>
      <c r="AU11" s="119"/>
      <c r="AV11" s="317"/>
      <c r="AW11" s="324"/>
    </row>
    <row r="12" spans="2:49" x14ac:dyDescent="0.2">
      <c r="B12" s="182" t="s">
        <v>283</v>
      </c>
      <c r="C12" s="139" t="s">
        <v>44</v>
      </c>
      <c r="D12" s="115"/>
      <c r="E12" s="295"/>
      <c r="F12" s="295"/>
      <c r="G12" s="295"/>
      <c r="H12" s="295"/>
      <c r="I12" s="299"/>
      <c r="J12" s="115">
        <v>-0.23999999999068677</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13045743</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1360718.31</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976968.6</v>
      </c>
      <c r="F16" s="116"/>
      <c r="G16" s="116"/>
      <c r="H16" s="116"/>
      <c r="I16" s="115"/>
      <c r="J16" s="115"/>
      <c r="K16" s="116">
        <v>-210554.64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91118</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-103333</v>
      </c>
      <c r="AU19" s="119"/>
      <c r="AV19" s="317"/>
      <c r="AW19" s="324"/>
    </row>
    <row r="20" spans="2:49" s="11" customFormat="1" ht="25.5" x14ac:dyDescent="0.2">
      <c r="B20" s="184" t="s">
        <v>485</v>
      </c>
      <c r="C20" s="139"/>
      <c r="D20" s="115"/>
      <c r="E20" s="116">
        <v>281.77999999999997</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10230203</v>
      </c>
      <c r="E23" s="294"/>
      <c r="F23" s="294"/>
      <c r="G23" s="294"/>
      <c r="H23" s="294"/>
      <c r="I23" s="298"/>
      <c r="J23" s="115">
        <v>9203767</v>
      </c>
      <c r="K23" s="294"/>
      <c r="L23" s="294"/>
      <c r="M23" s="294"/>
      <c r="N23" s="294"/>
      <c r="O23" s="298"/>
      <c r="P23" s="115">
        <v>9187903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2082910346</v>
      </c>
      <c r="AT23" s="119">
        <v>21177676</v>
      </c>
      <c r="AU23" s="119"/>
      <c r="AV23" s="317"/>
      <c r="AW23" s="324"/>
    </row>
    <row r="24" spans="2:49" ht="28.5" customHeight="1" x14ac:dyDescent="0.2">
      <c r="B24" s="184" t="s">
        <v>114</v>
      </c>
      <c r="C24" s="139"/>
      <c r="D24" s="299"/>
      <c r="E24" s="116">
        <v>10764837.069999998</v>
      </c>
      <c r="F24" s="116"/>
      <c r="G24" s="116"/>
      <c r="H24" s="116"/>
      <c r="I24" s="115"/>
      <c r="J24" s="299"/>
      <c r="K24" s="116">
        <v>1380359.4100000004</v>
      </c>
      <c r="L24" s="116"/>
      <c r="M24" s="116"/>
      <c r="N24" s="116"/>
      <c r="O24" s="115"/>
      <c r="P24" s="299"/>
      <c r="Q24" s="116">
        <v>184520.1100000001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1645971</v>
      </c>
      <c r="E26" s="294"/>
      <c r="F26" s="294"/>
      <c r="G26" s="294"/>
      <c r="H26" s="294"/>
      <c r="I26" s="298"/>
      <c r="J26" s="115">
        <v>1257733</v>
      </c>
      <c r="K26" s="294"/>
      <c r="L26" s="294"/>
      <c r="M26" s="294"/>
      <c r="N26" s="294"/>
      <c r="O26" s="298"/>
      <c r="P26" s="115">
        <v>1011187</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231003311</v>
      </c>
      <c r="AT26" s="119">
        <v>4768078</v>
      </c>
      <c r="AU26" s="119"/>
      <c r="AV26" s="317"/>
      <c r="AW26" s="324"/>
    </row>
    <row r="27" spans="2:49" s="11" customFormat="1" ht="25.5" x14ac:dyDescent="0.2">
      <c r="B27" s="184" t="s">
        <v>85</v>
      </c>
      <c r="C27" s="139"/>
      <c r="D27" s="299"/>
      <c r="E27" s="116">
        <v>197691.04320000013</v>
      </c>
      <c r="F27" s="116"/>
      <c r="G27" s="116"/>
      <c r="H27" s="116"/>
      <c r="I27" s="115"/>
      <c r="J27" s="299"/>
      <c r="K27" s="116">
        <v>19693.800265229132</v>
      </c>
      <c r="L27" s="116"/>
      <c r="M27" s="116"/>
      <c r="N27" s="116"/>
      <c r="O27" s="115"/>
      <c r="P27" s="299"/>
      <c r="Q27" s="116">
        <v>3074.0557347709087</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1259793.0000000002</v>
      </c>
      <c r="E28" s="295"/>
      <c r="F28" s="295"/>
      <c r="G28" s="295"/>
      <c r="H28" s="295"/>
      <c r="I28" s="299"/>
      <c r="J28" s="115">
        <v>1034527</v>
      </c>
      <c r="K28" s="295"/>
      <c r="L28" s="295"/>
      <c r="M28" s="295"/>
      <c r="N28" s="295"/>
      <c r="O28" s="299"/>
      <c r="P28" s="115">
        <v>910124</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218835810</v>
      </c>
      <c r="AT28" s="119">
        <v>3586193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1815</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436692</v>
      </c>
      <c r="AU30" s="119"/>
      <c r="AV30" s="317"/>
      <c r="AW30" s="324"/>
    </row>
    <row r="31" spans="2:49" s="11" customFormat="1" ht="25.5" x14ac:dyDescent="0.2">
      <c r="B31" s="184" t="s">
        <v>84</v>
      </c>
      <c r="C31" s="139"/>
      <c r="D31" s="299"/>
      <c r="E31" s="116"/>
      <c r="F31" s="116"/>
      <c r="G31" s="116"/>
      <c r="H31" s="116"/>
      <c r="I31" s="115"/>
      <c r="J31" s="299"/>
      <c r="K31" s="116">
        <v>1814.76</v>
      </c>
      <c r="L31" s="116"/>
      <c r="M31" s="116"/>
      <c r="N31" s="116"/>
      <c r="O31" s="115"/>
      <c r="P31" s="299"/>
      <c r="Q31" s="116">
        <v>-1854.5299999999997</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1855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357448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1048361.0000000001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1048361.0000000001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1234922</v>
      </c>
      <c r="E36" s="116">
        <v>1234922</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v>20842</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65081986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34257</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26449622</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6234</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13045743</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27472</v>
      </c>
      <c r="E49" s="116">
        <v>122883.69</v>
      </c>
      <c r="F49" s="116"/>
      <c r="G49" s="116"/>
      <c r="H49" s="116"/>
      <c r="I49" s="115"/>
      <c r="J49" s="115">
        <v>30221</v>
      </c>
      <c r="K49" s="116">
        <v>34349.639999999992</v>
      </c>
      <c r="L49" s="116"/>
      <c r="M49" s="116"/>
      <c r="N49" s="116"/>
      <c r="O49" s="115"/>
      <c r="P49" s="115">
        <v>144</v>
      </c>
      <c r="Q49" s="116">
        <v>1438.62</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13749577</v>
      </c>
      <c r="AT49" s="119">
        <v>1489</v>
      </c>
      <c r="AU49" s="119"/>
      <c r="AV49" s="317"/>
      <c r="AW49" s="324"/>
    </row>
    <row r="50" spans="2:49" x14ac:dyDescent="0.2">
      <c r="B50" s="182" t="s">
        <v>119</v>
      </c>
      <c r="C50" s="139" t="s">
        <v>34</v>
      </c>
      <c r="D50" s="115">
        <v>37089</v>
      </c>
      <c r="E50" s="295"/>
      <c r="F50" s="295"/>
      <c r="G50" s="295"/>
      <c r="H50" s="295"/>
      <c r="I50" s="299"/>
      <c r="J50" s="115">
        <v>9138</v>
      </c>
      <c r="K50" s="295"/>
      <c r="L50" s="295"/>
      <c r="M50" s="295"/>
      <c r="N50" s="295"/>
      <c r="O50" s="299"/>
      <c r="P50" s="115">
        <v>4814</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9125244</v>
      </c>
      <c r="AT50" s="119">
        <v>559</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139611</v>
      </c>
      <c r="L53" s="116"/>
      <c r="M53" s="116"/>
      <c r="N53" s="116"/>
      <c r="O53" s="115"/>
      <c r="P53" s="115"/>
      <c r="Q53" s="116">
        <v>-24185</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10439437</v>
      </c>
      <c r="E54" s="121">
        <f>E24+E27+E31+E35-E36+E39+E42+E45+E46-E49+E51+E52+E53</f>
        <v>10653083.423199998</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9433873</v>
      </c>
      <c r="K54" s="121">
        <f>K24+K27+K31+K35-K36+K39+K42+K45+K46-K49+K51+K52+K53</f>
        <v>1507129.3302652296</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9314478</v>
      </c>
      <c r="Q54" s="121">
        <f>Q24+Q27+Q31+Q35-Q36+Q39+Q42+Q45+Q46-Q49+Q51+Q52+Q53</f>
        <v>160116.015734771</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2168939379</v>
      </c>
      <c r="AT54" s="122">
        <f>AT23+AT26-AT28+AT30-AT32+AT34-AT36+AT38+AT41-AT43+AT45+AT46-AT47-AT49+AT50+AT51+AT52+AT53</f>
        <v>22437875</v>
      </c>
      <c r="AU54" s="122">
        <f>AU23+AU26-AU28+AU30-AU32+AU34-AU36+AU38+AU41-AU43+AU45+AU46-AU47-AU49+AU50+AU51+AU52+AU53</f>
        <v>0</v>
      </c>
      <c r="AV54" s="317"/>
      <c r="AW54" s="324"/>
    </row>
    <row r="55" spans="2:49" ht="25.5" x14ac:dyDescent="0.2">
      <c r="B55" s="187" t="s">
        <v>304</v>
      </c>
      <c r="C55" s="143" t="s">
        <v>28</v>
      </c>
      <c r="D55" s="120">
        <f>MIN(MAX(0,D56),MAX(0,D57))</f>
        <v>4821</v>
      </c>
      <c r="E55" s="121">
        <f>MIN(MAX(0,E56),MAX(0,E57))</f>
        <v>4821</v>
      </c>
      <c r="F55" s="121">
        <f>MIN(MAX(0,F56),MAX(0,F57))</f>
        <v>0</v>
      </c>
      <c r="G55" s="121">
        <f>MIN(MAX(0,G56),MAX(0,G57))</f>
        <v>0</v>
      </c>
      <c r="H55" s="121">
        <f>MIN(MAX(0,H56),MAX(0,H57))</f>
        <v>0</v>
      </c>
      <c r="I55" s="120">
        <f>MIN(MAX(0,I56),MAX(0,I57))</f>
        <v>0</v>
      </c>
      <c r="J55" s="120">
        <f>MIN(MAX(0,J56),MAX(0,J57))</f>
        <v>4837</v>
      </c>
      <c r="K55" s="121">
        <f>MIN(MAX(0,K56),MAX(0,K57))</f>
        <v>471.46999999999935</v>
      </c>
      <c r="L55" s="121">
        <f>MIN(MAX(0,L56),MAX(0,L57))</f>
        <v>0</v>
      </c>
      <c r="M55" s="121">
        <f>MIN(MAX(0,M56),MAX(0,M57))</f>
        <v>0</v>
      </c>
      <c r="N55" s="121">
        <f>MIN(MAX(0,N56),MAX(0,N57))</f>
        <v>0</v>
      </c>
      <c r="O55" s="120">
        <f>MIN(MAX(0,O56),MAX(0,O57))</f>
        <v>0</v>
      </c>
      <c r="P55" s="120">
        <f>MIN(MAX(0,P56),MAX(0,P57))</f>
        <v>759</v>
      </c>
      <c r="Q55" s="121">
        <f>MIN(MAX(0,Q56),MAX(0,Q57))</f>
        <v>539.54</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15752</v>
      </c>
      <c r="E56" s="116">
        <v>15752</v>
      </c>
      <c r="F56" s="116"/>
      <c r="G56" s="116"/>
      <c r="H56" s="116"/>
      <c r="I56" s="115"/>
      <c r="J56" s="115">
        <v>5207</v>
      </c>
      <c r="K56" s="116">
        <v>4810.05</v>
      </c>
      <c r="L56" s="116"/>
      <c r="M56" s="116"/>
      <c r="N56" s="116"/>
      <c r="O56" s="115"/>
      <c r="P56" s="115">
        <v>759</v>
      </c>
      <c r="Q56" s="116">
        <v>539.54</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4821</v>
      </c>
      <c r="E57" s="116">
        <v>4821</v>
      </c>
      <c r="F57" s="116"/>
      <c r="G57" s="116"/>
      <c r="H57" s="116"/>
      <c r="I57" s="115"/>
      <c r="J57" s="115">
        <v>4837</v>
      </c>
      <c r="K57" s="116">
        <v>471.46999999999935</v>
      </c>
      <c r="L57" s="116"/>
      <c r="M57" s="116"/>
      <c r="N57" s="116"/>
      <c r="O57" s="115"/>
      <c r="P57" s="115">
        <v>12319</v>
      </c>
      <c r="Q57" s="116">
        <v>1978.1200000000008</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32457016</v>
      </c>
      <c r="AT57" s="119">
        <v>131532</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6027436.0299999993</v>
      </c>
      <c r="D5" s="124">
        <v>6899418.2202000013</v>
      </c>
      <c r="E5" s="352"/>
      <c r="F5" s="352"/>
      <c r="G5" s="318"/>
      <c r="H5" s="123">
        <v>2896797.1300000004</v>
      </c>
      <c r="I5" s="124">
        <v>2174656.3979013716</v>
      </c>
      <c r="J5" s="352"/>
      <c r="K5" s="352"/>
      <c r="L5" s="318"/>
      <c r="M5" s="123">
        <v>446932.74</v>
      </c>
      <c r="N5" s="124">
        <v>547128.35049863241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6034452.7200000025</v>
      </c>
      <c r="D6" s="116">
        <v>6843614.0975000011</v>
      </c>
      <c r="E6" s="121">
        <f>SUM('Pt 1 Summary of Data'!E$12,'Pt 1 Summary of Data'!E$22)+SUM('Pt 1 Summary of Data'!G$12,'Pt 1 Summary of Data'!G$22)-SUM('Pt 1 Summary of Data'!H$12,'Pt 1 Summary of Data'!H$22)</f>
        <v>10657904.423199998</v>
      </c>
      <c r="F6" s="121">
        <f>SUM(C6:E6)</f>
        <v>23535971.240699999</v>
      </c>
      <c r="G6" s="122">
        <f>SUM('Pt 1 Summary of Data'!I$12,'Pt 1 Summary of Data'!I$22)</f>
        <v>0</v>
      </c>
      <c r="H6" s="115">
        <v>2881644.9400000004</v>
      </c>
      <c r="I6" s="116">
        <v>2141901.571772329</v>
      </c>
      <c r="J6" s="121">
        <f>SUM('Pt 1 Summary of Data'!K$12,'Pt 1 Summary of Data'!K$22)+SUM('Pt 1 Summary of Data'!M$12,'Pt 1 Summary of Data'!M$22)-SUM('Pt 1 Summary of Data'!N$12,'Pt 1 Summary of Data'!N$22)</f>
        <v>1507600.8002652295</v>
      </c>
      <c r="K6" s="121">
        <f>SUM(H6:J6)</f>
        <v>6531147.3120375583</v>
      </c>
      <c r="L6" s="122">
        <f>SUM('Pt 1 Summary of Data'!O$12,'Pt 1 Summary of Data'!O$22)</f>
        <v>0</v>
      </c>
      <c r="M6" s="115">
        <v>459549.38000000088</v>
      </c>
      <c r="N6" s="116">
        <v>538547.75029284845</v>
      </c>
      <c r="O6" s="121">
        <f>SUM('Pt 1 Summary of Data'!Q$12,'Pt 1 Summary of Data'!Q$22)+SUM('Pt 1 Summary of Data'!S$12,'Pt 1 Summary of Data'!S$22)-SUM('Pt 1 Summary of Data'!T$12,'Pt 1 Summary of Data'!T$22)</f>
        <v>160655.55573477101</v>
      </c>
      <c r="P6" s="121">
        <f>SUM(M6:O6)</f>
        <v>1158752.6860276205</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112593.62999999999</v>
      </c>
      <c r="D7" s="116">
        <v>165752.93</v>
      </c>
      <c r="E7" s="121">
        <f>SUM('Pt 1 Summary of Data'!E$37:E$41)+SUM('Pt 1 Summary of Data'!G$37:G$41)-SUM('Pt 1 Summary of Data'!H$37:H$41)+MAX(0,MIN('Pt 1 Summary of Data'!E$42+'Pt 1 Summary of Data'!G$42-'Pt 1 Summary of Data'!H$42,0.3%*('Pt 1 Summary of Data'!E$5+'Pt 1 Summary of Data'!G$5-'Pt 1 Summary of Data'!H$5-SUM(E$9:E$11))))</f>
        <v>153255.33000000002</v>
      </c>
      <c r="F7" s="121">
        <f>SUM(C7:E7)</f>
        <v>431601.89</v>
      </c>
      <c r="G7" s="122">
        <f>SUM('Pt 1 Summary of Data'!I$37:I$41)+MAX(0,MIN('Pt 1 Summary of Data'!I$42,0.3%*('Pt 1 Summary of Data'!I$5-SUM(G$9:G$10))))</f>
        <v>0</v>
      </c>
      <c r="H7" s="115">
        <v>108408.23</v>
      </c>
      <c r="I7" s="116">
        <v>85970.789999999964</v>
      </c>
      <c r="J7" s="121">
        <f>SUM('Pt 1 Summary of Data'!K$37:K$41)+SUM('Pt 1 Summary of Data'!M$37:M$41)-SUM('Pt 1 Summary of Data'!N$37:N$41)+MAX(0,MIN('Pt 1 Summary of Data'!K$42+'Pt 1 Summary of Data'!M$42-'Pt 1 Summary of Data'!N$42,0.3%*('Pt 1 Summary of Data'!K$5+'Pt 1 Summary of Data'!M$5-'Pt 1 Summary of Data'!N$5-SUM(J$10:J$11))))</f>
        <v>61872.490000000005</v>
      </c>
      <c r="K7" s="121">
        <f>SUM(H7:J7)</f>
        <v>256251.50999999995</v>
      </c>
      <c r="L7" s="122">
        <f>SUM('Pt 1 Summary of Data'!O$37:O$41)+MAX(0,MIN('Pt 1 Summary of Data'!O$42,0.3%*('Pt 1 Summary of Data'!O$5-L$10)))</f>
        <v>0</v>
      </c>
      <c r="M7" s="115">
        <v>17508.019999999997</v>
      </c>
      <c r="N7" s="116">
        <v>13785.25</v>
      </c>
      <c r="O7" s="121">
        <f>SUM('Pt 1 Summary of Data'!Q$37:Q$41)+SUM('Pt 1 Summary of Data'!S$37:S$41)-SUM('Pt 1 Summary of Data'!T$37:T$41)+MAX(0,MIN('Pt 1 Summary of Data'!Q$42+'Pt 1 Summary of Data'!S$42-'Pt 1 Summary of Data'!T$42,0.3%*('Pt 1 Summary of Data'!Q$5+'Pt 1 Summary of Data'!S$5-'Pt 1 Summary of Data'!T$5)))</f>
        <v>4673.1399999999985</v>
      </c>
      <c r="P7" s="121">
        <f>SUM(M7:O7)</f>
        <v>35966.409999999996</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1360718.31</v>
      </c>
      <c r="F9" s="121">
        <f>SUM(C9:E9)</f>
        <v>1360718.31</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976968.6</v>
      </c>
      <c r="F10" s="121">
        <f>SUM(C10:E10)</f>
        <v>976968.6</v>
      </c>
      <c r="G10" s="122">
        <f>'Pt 2 Premium and Claims'!I$16</f>
        <v>0</v>
      </c>
      <c r="H10" s="298"/>
      <c r="I10" s="294"/>
      <c r="J10" s="121">
        <f>'Pt 2 Premium and Claims'!K$16+'Pt 2 Premium and Claims'!M$16-'Pt 2 Premium and Claims'!N$16</f>
        <v>-210554.64</v>
      </c>
      <c r="K10" s="121">
        <f>SUM(H10:J10)</f>
        <v>-210554.64</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6147046.3500000024</v>
      </c>
      <c r="D12" s="121">
        <f>SUM(D$6:D$7)+IF(AND(OR('Company Information'!$C$12="District of Columbia",'Company Information'!$C$12="Massachusetts",'Company Information'!$C$12="Vermont"),SUM($C$6:$F$11,$C$15:$F$16,$C$37:$D$37)&lt;&gt;0),SUM(I$6:I$7),0)</f>
        <v>7009367.0275000008</v>
      </c>
      <c r="E12" s="121">
        <f>SUM(E$6:E$7)-SUM(E$8:E$11)+IF(AND(OR('Company Information'!$C$12="District of Columbia",'Company Information'!$C$12="Massachusetts",'Company Information'!$C$12="Vermont"),SUM($C$6:$F$11,$C$15:$F$16,$C$37:$D$37)&lt;&gt;0),SUM(J$6:J$7)-SUM(J$10:J$11),0)</f>
        <v>8473472.8431999981</v>
      </c>
      <c r="F12" s="121">
        <f>IFERROR(SUM(C$12:E$12)+C$17*MAX(0,E$49-C$49)+D$17*MAX(0,E$49-D$49),0)</f>
        <v>21629886.220700003</v>
      </c>
      <c r="G12" s="317"/>
      <c r="H12" s="120">
        <f>SUM(H$6:H$7)+IF(AND(OR('Company Information'!$C$12="District of Columbia",'Company Information'!$C$12="Massachusetts",'Company Information'!$C$12="Vermont"),SUM($H$6:$K$11,$H$15:$K$16,$H$37:$I$37)&lt;&gt;0),SUM(C$6:C$7),0)</f>
        <v>2990053.1700000004</v>
      </c>
      <c r="I12" s="121">
        <f>SUM(I$6:I$7)+IF(AND(OR('Company Information'!$C$12="District of Columbia",'Company Information'!$C$12="Massachusetts",'Company Information'!$C$12="Vermont"),SUM($H$6:$K$11,$H$15:$K$16,$H$37:$I$37)&lt;&gt;0),SUM(D$6:D$7),0)</f>
        <v>2227872.3617723291</v>
      </c>
      <c r="J12" s="121">
        <f>SUM(J$6:J$7)-SUM(J$10:J$11)+IF(AND(OR('Company Information'!$C$12="District of Columbia",'Company Information'!$C$12="Massachusetts",'Company Information'!$C$12="Vermont"),SUM($H$6:$K$11,$H$15:$K$16,$H$37:$I$37)&lt;&gt;0),SUM(E$6:E$7)-SUM(E$8:E$11),0)</f>
        <v>1780027.9302652297</v>
      </c>
      <c r="K12" s="121">
        <f>IFERROR(SUM(H$12:J$12)+H$17*MAX(0,J$49-H$49)+I$17*MAX(0,J$49-I$49),0)</f>
        <v>6997953.4620375596</v>
      </c>
      <c r="L12" s="317"/>
      <c r="M12" s="120">
        <f>SUM(M$6:M$7)</f>
        <v>477057.4000000009</v>
      </c>
      <c r="N12" s="121">
        <f>SUM(N$6:N$7)</f>
        <v>552333.00029284845</v>
      </c>
      <c r="O12" s="121">
        <f>SUM(O$6:O$7)</f>
        <v>165328.695734771</v>
      </c>
      <c r="P12" s="121">
        <f>SUM(M$12:O$12)+M$17*MAX(0,O$49-M$49)+N$17*MAX(0,O$49-N$49)</f>
        <v>1194719.0960276204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8255804.6100000003</v>
      </c>
      <c r="D15" s="124">
        <v>8386341.5774961021</v>
      </c>
      <c r="E15" s="112">
        <f>SUM('Pt 1 Summary of Data'!E$5:E$7)+SUM('Pt 1 Summary of Data'!G$5:G$7)-SUM('Pt 1 Summary of Data'!H$5:H$7)-SUM(E$9:E$11)+D$55</f>
        <v>11378250.132503998</v>
      </c>
      <c r="F15" s="112">
        <f>SUM(C15:E15)</f>
        <v>28020396.320000101</v>
      </c>
      <c r="G15" s="113">
        <f>SUM('Pt 1 Summary of Data'!I$5:I$7)-SUM(G$9:G$10)</f>
        <v>0</v>
      </c>
      <c r="H15" s="123">
        <v>4819359.83</v>
      </c>
      <c r="I15" s="124">
        <v>3860657.6886253245</v>
      </c>
      <c r="J15" s="112">
        <f>SUM('Pt 1 Summary of Data'!K$5:K$7)+SUM('Pt 1 Summary of Data'!M$5:M$7)-SUM('Pt 1 Summary of Data'!N$5:N$7)-SUM(J$10:J$11)+I$55</f>
        <v>3205080.2834402686</v>
      </c>
      <c r="K15" s="112">
        <f>SUM(H15:J15)</f>
        <v>11885097.802065592</v>
      </c>
      <c r="L15" s="113">
        <f>SUM('Pt 1 Summary of Data'!O$5:O$7)-L$10</f>
        <v>0</v>
      </c>
      <c r="M15" s="123">
        <v>736202.57</v>
      </c>
      <c r="N15" s="124">
        <v>658026.06430365238</v>
      </c>
      <c r="O15" s="112">
        <f>SUM('Pt 1 Summary of Data'!Q$5:Q$7)+SUM('Pt 1 Summary of Data'!S$5:S$7)-SUM('Pt 1 Summary of Data'!T$5:T$7)+N$55</f>
        <v>286618.18965727143</v>
      </c>
      <c r="P15" s="112">
        <f>SUM(M15:O15)</f>
        <v>1680846.8239609236</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212518</v>
      </c>
      <c r="D16" s="116">
        <v>10866.77152689286</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621182.05519910704</v>
      </c>
      <c r="F16" s="121">
        <f>SUM(C16:E16)</f>
        <v>844566.82672599994</v>
      </c>
      <c r="G16" s="122">
        <f>SUM('Pt 1 Summary of Data'!I$25:I$28,'Pt 1 Summary of Data'!I$30,'Pt 1 Summary of Data'!I$34:I$35)+IF('Company Information'!$C$15="No",IF(MAX('Pt 1 Summary of Data'!I$31:I$32)=0,MIN('Pt 1 Summary of Data'!I$31:I$32),MAX('Pt 1 Summary of Data'!I$31:I$32)),SUM('Pt 1 Summary of Data'!I$31:I$32))</f>
        <v>0</v>
      </c>
      <c r="H16" s="115">
        <v>568334.91</v>
      </c>
      <c r="I16" s="116">
        <v>454090.43380482052</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413402.18175320764</v>
      </c>
      <c r="K16" s="121">
        <f>SUM(H16:J16)</f>
        <v>1435827.5255580281</v>
      </c>
      <c r="L16" s="122">
        <f>SUM('Pt 1 Summary of Data'!O$25:O$28,'Pt 1 Summary of Data'!O$30,'Pt 1 Summary of Data'!O$34:O$35)+IF('Company Information'!$C$15="No",IF(MAX('Pt 1 Summary of Data'!O$31:O$32)=0,MIN('Pt 1 Summary of Data'!O$31:O$32),MAX('Pt 1 Summary of Data'!O$31:O$32)),SUM('Pt 1 Summary of Data'!O$31:O$32))</f>
        <v>0</v>
      </c>
      <c r="M16" s="115">
        <v>26650.550000000003</v>
      </c>
      <c r="N16" s="116">
        <v>-2796.8733763437558</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-23367.020613640456</v>
      </c>
      <c r="P16" s="121">
        <f>SUM(M16:O16)</f>
        <v>486.65601001579125</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8043286.6100000003</v>
      </c>
      <c r="D17" s="121">
        <f>D$15-D$16+IF(AND(OR('Company Information'!$C$12="District of Columbia",'Company Information'!$C$12="Massachusetts",'Company Information'!$C$12="Vermont"),SUM($C$6:$F$11,$C$15:$F$16,$C$37:$D$37)&lt;&gt;0),I$15-I$16,0)</f>
        <v>8375474.8059692094</v>
      </c>
      <c r="E17" s="121">
        <f>E$15-E$16+IF(AND(OR('Company Information'!$C$12="District of Columbia",'Company Information'!$C$12="Massachusetts",'Company Information'!$C$12="Vermont"),SUM($C$6:$F$11,$C$15:$F$16,$C$37:$D$37)&lt;&gt;0),J$15-J$16,0)</f>
        <v>10757068.07730489</v>
      </c>
      <c r="F17" s="121">
        <f>F$15-F$16+IF(AND(OR('Company Information'!$C$12="District of Columbia",'Company Information'!$C$12="Massachusetts",'Company Information'!$C$12="Vermont"),SUM($C$6:$F$11,$C$15:$F$16,$C$37:$D$37)&lt;&gt;0),K$15-K$16,0)</f>
        <v>27175829.4932741</v>
      </c>
      <c r="G17" s="320"/>
      <c r="H17" s="120">
        <f>H$15-H$16+IF(AND(OR('Company Information'!$C$12="District of Columbia",'Company Information'!$C$12="Massachusetts",'Company Information'!$C$12="Vermont"),SUM($H$6:$K$11,$H$15:$K$16,$H$37:$I$37)&lt;&gt;0),C$15-C$16,0)</f>
        <v>4251024.92</v>
      </c>
      <c r="I17" s="121">
        <f>I$15-I$16+IF(AND(OR('Company Information'!$C$12="District of Columbia",'Company Information'!$C$12="Massachusetts",'Company Information'!$C$12="Vermont"),SUM($H$6:$K$11,$H$15:$K$16,$H$37:$I$37)&lt;&gt;0),D$15-D$16,0)</f>
        <v>3406567.2548205042</v>
      </c>
      <c r="J17" s="121">
        <f>J$15-J$16+IF(AND(OR('Company Information'!$C$12="District of Columbia",'Company Information'!$C$12="Massachusetts",'Company Information'!$C$12="Vermont"),SUM($H$6:$K$11,$H$15:$K$16,$H$37:$I$37)&lt;&gt;0),E$15-E$16,0)</f>
        <v>2791678.1016870611</v>
      </c>
      <c r="K17" s="121">
        <f>K$15-K$16+IF(AND(OR('Company Information'!$C$12="District of Columbia",'Company Information'!$C$12="Massachusetts",'Company Information'!$C$12="Vermont"),SUM($H$6:$K$11,$H$15:$K$16,$H$37:$I$37)&lt;&gt;0),F$15-F$16,0)</f>
        <v>10449270.276507564</v>
      </c>
      <c r="L17" s="320"/>
      <c r="M17" s="120">
        <f>M$15-M$16</f>
        <v>709552.0199999999</v>
      </c>
      <c r="N17" s="121">
        <f>N$15-N$16</f>
        <v>660822.93767999613</v>
      </c>
      <c r="O17" s="121">
        <f>O$15-O$16</f>
        <v>309985.21027091186</v>
      </c>
      <c r="P17" s="121">
        <f>P$15-P$16</f>
        <v>1680360.1679509077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3520.5</v>
      </c>
      <c r="D37" s="128">
        <v>3335</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3764.5</v>
      </c>
      <c r="F37" s="262">
        <f>SUM(C$37:E$37)+IF(AND(OR('Company Information'!$C$12="District of Columbia",'Company Information'!$C$12="Massachusetts",'Company Information'!$C$12="Vermont"),SUM($C$6:$F$11,$C$15:$F$16,$C$37:$D$37)&lt;&gt;0,SUM(C$37:D$37)&lt;&gt;SUM(H$37:I$37)),SUM(H$37:I$37),0)</f>
        <v>10620</v>
      </c>
      <c r="G37" s="318"/>
      <c r="H37" s="127">
        <v>1057.1666666666667</v>
      </c>
      <c r="I37" s="128">
        <v>801</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571.75</v>
      </c>
      <c r="K37" s="262">
        <f>SUM(H$37:J$37)+IF(AND(OR('Company Information'!$C$12="District of Columbia",'Company Information'!$C$12="Massachusetts",'Company Information'!$C$12="Vermont"),SUM($H$6:$K$11,$H$15:$K$16,$H$37:$I$37)&lt;&gt;0,SUM(H$37:I$37)&lt;&gt;SUM(C$37:D$37)),SUM(C$37:D$37),0)</f>
        <v>2429.916666666667</v>
      </c>
      <c r="L37" s="318"/>
      <c r="M37" s="127">
        <v>185.75</v>
      </c>
      <c r="N37" s="128">
        <v>160</v>
      </c>
      <c r="O37" s="262">
        <f>('Pt 1 Summary of Data'!Q$59+'Pt 1 Summary of Data'!S$59-'Pt 1 Summary of Data'!T$59)/12</f>
        <v>57.5</v>
      </c>
      <c r="P37" s="262">
        <f>SUM(M$37:O$37)</f>
        <v>403.25</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2.5586666666666667E-2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5.3448388888888879E-2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4382.3949044585988</v>
      </c>
      <c r="G39" s="317"/>
      <c r="H39" s="298"/>
      <c r="I39" s="294"/>
      <c r="J39" s="294"/>
      <c r="K39" s="116"/>
      <c r="L39" s="317"/>
      <c r="M39" s="298"/>
      <c r="N39" s="294"/>
      <c r="O39" s="294"/>
      <c r="P39" s="116">
        <v>2949.1428024135621</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1.3432039949044585</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1.2067583947897711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3.4368112882955409E-2</v>
      </c>
      <c r="G41" s="317"/>
      <c r="H41" s="298"/>
      <c r="I41" s="294"/>
      <c r="J41" s="294"/>
      <c r="K41" s="266">
        <f ca="1">IF(OR(K$37&lt;1000,K$37&gt;=75000),0,K$38*K$40)</f>
        <v>5.3448388888888879E-2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0.76424559363053735</v>
      </c>
      <c r="D44" s="266">
        <f>IF(OR(D$37&lt;1000,D$17&lt;=0),"",D$12/D$17)</f>
        <v>0.83689190044538342</v>
      </c>
      <c r="E44" s="266">
        <f>IF(OR(E$37&lt;1000,E$17&lt;=0),"",E$12/E$17)</f>
        <v>0.78771211470504787</v>
      </c>
      <c r="F44" s="266">
        <f>IF(OR(F$37&lt;1000,F$17&lt;=0),"",F$12/F$17)</f>
        <v>0.79592368012366677</v>
      </c>
      <c r="G44" s="317"/>
      <c r="H44" s="268">
        <f>IF(OR(H$37&lt;1000,H$17&lt;=0),"",H$12/H$17)</f>
        <v>0.70337229874436968</v>
      </c>
      <c r="I44" s="266" t="str">
        <f>IF(OR(I$37&lt;1000,I$17&lt;=0),"",I$12/I$17)</f>
        <v/>
      </c>
      <c r="J44" s="266" t="str">
        <f>IF(OR(J$37&lt;1000,J$17&lt;=0),"",J$12/J$17)</f>
        <v/>
      </c>
      <c r="K44" s="266">
        <f>IF(OR(K$37&lt;1000,K$17&lt;=0),"",K$12/K$17)</f>
        <v>0.66970738404294294</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3.4368112882955409E-2</v>
      </c>
      <c r="G46" s="317"/>
      <c r="H46" s="298"/>
      <c r="I46" s="294"/>
      <c r="J46" s="294"/>
      <c r="K46" s="266">
        <f ca="1">IF(K$44="","",K$41)</f>
        <v>5.3448388888888879E-2</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0.83</v>
      </c>
      <c r="G47" s="317"/>
      <c r="H47" s="298"/>
      <c r="I47" s="294"/>
      <c r="J47" s="294"/>
      <c r="K47" s="266">
        <f ca="1">IF(K$44="","",ROUND(K$44+MAX(0,K$46),3))</f>
        <v>0.72299999999999998</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0.83</v>
      </c>
      <c r="G50" s="317"/>
      <c r="H50" s="299"/>
      <c r="I50" s="295"/>
      <c r="J50" s="295"/>
      <c r="K50" s="266">
        <f ca="1">K$47</f>
        <v>0.72299999999999998</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10757068.07730489</v>
      </c>
      <c r="G51" s="317"/>
      <c r="H51" s="298"/>
      <c r="I51" s="294"/>
      <c r="J51" s="294"/>
      <c r="K51" s="121">
        <f>IF(K$37&lt;1000,"",MAX(0,J$15-J$16))</f>
        <v>2791678.1016870611</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 ca="1">IF(OR(K$37&lt;1000,K$17&lt;=0),0,MAX(0,K$49-K$50)*K$51)</f>
        <v>214959.21382990389</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81248.262503898106</v>
      </c>
      <c r="E55" s="294"/>
      <c r="F55" s="294"/>
      <c r="G55" s="317"/>
      <c r="H55" s="298"/>
      <c r="I55" s="116">
        <v>17527.282319354741</v>
      </c>
      <c r="J55" s="294"/>
      <c r="K55" s="294"/>
      <c r="L55" s="317"/>
      <c r="M55" s="298"/>
      <c r="N55" s="116">
        <v>2919.8427310086981</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105.22847310713968</v>
      </c>
      <c r="E56" s="294"/>
      <c r="F56" s="294"/>
      <c r="G56" s="317"/>
      <c r="H56" s="298"/>
      <c r="I56" s="116">
        <v>2060.6088203381319</v>
      </c>
      <c r="J56" s="294"/>
      <c r="K56" s="294"/>
      <c r="L56" s="317"/>
      <c r="M56" s="298"/>
      <c r="N56" s="116">
        <v>-12.404889774018503</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2223</v>
      </c>
      <c r="D4" s="155">
        <f>'Pt 1 Summary of Data'!$K$56+'Pt 1 Summary of Data'!$M$56-'Pt 1 Summary of Data'!$N$56</f>
        <v>279</v>
      </c>
      <c r="E4" s="155">
        <f>'Pt 1 Summary of Data'!$Q$56+'Pt 1 Summary of Data'!$S$56-'Pt 1 Summary of Data'!$T$56</f>
        <v>18</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66</v>
      </c>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214959.21382990389</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214959.21</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t="s">
        <v>507</v>
      </c>
      <c r="C10" s="34"/>
      <c r="D10" s="35"/>
      <c r="E10" s="35"/>
      <c r="F10" s="35"/>
      <c r="G10" s="35"/>
      <c r="H10" s="35"/>
      <c r="I10" s="33"/>
      <c r="J10" s="33"/>
      <c r="K10" s="8"/>
    </row>
    <row r="11" spans="1:12" s="11" customFormat="1" ht="18" customHeight="1" x14ac:dyDescent="0.2">
      <c r="B11" s="72" t="s">
        <v>508</v>
      </c>
      <c r="C11" s="34"/>
      <c r="D11" s="35"/>
      <c r="E11" s="35"/>
      <c r="F11" s="35"/>
      <c r="G11" s="35"/>
      <c r="H11" s="35"/>
      <c r="I11" s="33"/>
      <c r="J11" s="33"/>
      <c r="K11" s="8"/>
    </row>
    <row r="12" spans="1:12" s="11" customFormat="1" ht="18" customHeight="1" x14ac:dyDescent="0.2">
      <c r="B12" s="72" t="s">
        <v>509</v>
      </c>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