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X38" i="10" s="1"/>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P47" i="10"/>
  <c r="K47" i="10"/>
  <c r="AB46" i="10"/>
  <c r="T46" i="10"/>
  <c r="P46" i="10"/>
  <c r="K46" i="10"/>
  <c r="AB45" i="10"/>
  <c r="AA45" i="10"/>
  <c r="Z45" i="10"/>
  <c r="Y45" i="10"/>
  <c r="AB38" i="10" s="1"/>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AB40" i="10"/>
  <c r="X40" i="10"/>
  <c r="T40" i="10"/>
  <c r="P40" i="10"/>
  <c r="K40" i="10"/>
  <c r="F40" i="10"/>
  <c r="T38" i="10"/>
  <c r="P38" i="10"/>
  <c r="K38" i="10"/>
  <c r="F38" i="10"/>
  <c r="AB37" i="10"/>
  <c r="AA37" i="10"/>
  <c r="X37" i="10"/>
  <c r="W37" i="10"/>
  <c r="T37" i="10"/>
  <c r="S37" i="10"/>
  <c r="P37" i="10"/>
  <c r="O37" i="10"/>
  <c r="K37" i="10"/>
  <c r="J37" i="10"/>
  <c r="F37" i="10"/>
  <c r="E37" i="10"/>
  <c r="L29" i="10"/>
  <c r="G29" i="10"/>
  <c r="L28" i="10"/>
  <c r="G28" i="10"/>
  <c r="L25" i="10"/>
  <c r="G25" i="10"/>
  <c r="L24" i="10"/>
  <c r="L23" i="10" s="1"/>
  <c r="L27" i="10" s="1"/>
  <c r="L31" i="10" s="1"/>
  <c r="L32" i="10" s="1"/>
  <c r="L33" i="10" s="1"/>
  <c r="L21" i="10"/>
  <c r="G21" i="10"/>
  <c r="L20" i="10"/>
  <c r="L19" i="10"/>
  <c r="G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V13" i="10" s="1"/>
  <c r="W16" i="10"/>
  <c r="U13" i="10" s="1"/>
  <c r="T16" i="10"/>
  <c r="S16" i="10"/>
  <c r="S13" i="10" s="1"/>
  <c r="P16" i="10"/>
  <c r="O16" i="10"/>
  <c r="L16" i="10"/>
  <c r="K16" i="10"/>
  <c r="J16" i="10"/>
  <c r="H12" i="10" s="1"/>
  <c r="G16" i="10"/>
  <c r="F16" i="10"/>
  <c r="E16" i="10"/>
  <c r="AB15" i="10"/>
  <c r="AA15" i="10"/>
  <c r="X15" i="10"/>
  <c r="W15" i="10"/>
  <c r="W13" i="10" s="1"/>
  <c r="T15" i="10"/>
  <c r="S15" i="10"/>
  <c r="P15" i="10"/>
  <c r="O15" i="10"/>
  <c r="L15" i="10"/>
  <c r="K15" i="10"/>
  <c r="J15" i="10"/>
  <c r="G15" i="10"/>
  <c r="F15" i="10"/>
  <c r="E15" i="10"/>
  <c r="AB13" i="10"/>
  <c r="AA13" i="10"/>
  <c r="Z13" i="10"/>
  <c r="Y13" i="10"/>
  <c r="P12" i="10"/>
  <c r="O12" i="10"/>
  <c r="N12" i="10"/>
  <c r="M12" i="10"/>
  <c r="C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0" i="10" s="1"/>
  <c r="E7" i="10"/>
  <c r="F7" i="10" s="1"/>
  <c r="AB6" i="10"/>
  <c r="AA6" i="10"/>
  <c r="X6" i="10"/>
  <c r="W6" i="10"/>
  <c r="T6" i="10"/>
  <c r="S6" i="10"/>
  <c r="P6" i="10"/>
  <c r="O6" i="10"/>
  <c r="L6" i="10"/>
  <c r="K6" i="10"/>
  <c r="J6" i="10"/>
  <c r="G6" i="10"/>
  <c r="F6" i="10"/>
  <c r="E6" i="10"/>
  <c r="AU55" i="18"/>
  <c r="AU22" i="4" s="1"/>
  <c r="AT55" i="18"/>
  <c r="AS55" i="18"/>
  <c r="AC55" i="18"/>
  <c r="AC22" i="4" s="1"/>
  <c r="AB55" i="18"/>
  <c r="AA55" i="18"/>
  <c r="AA22" i="4" s="1"/>
  <c r="Z55" i="18"/>
  <c r="Y55" i="18"/>
  <c r="X55" i="18"/>
  <c r="W55" i="18"/>
  <c r="W22" i="4" s="1"/>
  <c r="V55" i="18"/>
  <c r="U55" i="18"/>
  <c r="U22" i="4" s="1"/>
  <c r="T55" i="18"/>
  <c r="T22" i="4" s="1"/>
  <c r="S55" i="18"/>
  <c r="S22" i="4" s="1"/>
  <c r="R55" i="18"/>
  <c r="R22" i="4" s="1"/>
  <c r="Q55" i="18"/>
  <c r="Q22" i="4" s="1"/>
  <c r="P55" i="18"/>
  <c r="P22" i="4" s="1"/>
  <c r="O55" i="18"/>
  <c r="N55" i="18"/>
  <c r="N22" i="4" s="1"/>
  <c r="M55" i="18"/>
  <c r="M22" i="4" s="1"/>
  <c r="L55" i="18"/>
  <c r="L22" i="4" s="1"/>
  <c r="K55" i="18"/>
  <c r="K22" i="4" s="1"/>
  <c r="J55" i="18"/>
  <c r="I55" i="18"/>
  <c r="H55" i="18"/>
  <c r="H22" i="4" s="1"/>
  <c r="G55" i="18"/>
  <c r="G22" i="4" s="1"/>
  <c r="F55" i="18"/>
  <c r="F22" i="4" s="1"/>
  <c r="E55" i="18"/>
  <c r="E22" i="4" s="1"/>
  <c r="D55" i="18"/>
  <c r="AU54" i="18"/>
  <c r="AT54" i="18"/>
  <c r="AT12" i="4" s="1"/>
  <c r="AS54" i="18"/>
  <c r="AC54" i="18"/>
  <c r="AB54" i="18"/>
  <c r="AB12" i="4" s="1"/>
  <c r="AA54" i="18"/>
  <c r="AA12" i="4" s="1"/>
  <c r="Z54" i="18"/>
  <c r="Z12" i="4" s="1"/>
  <c r="Y54" i="18"/>
  <c r="X54" i="18"/>
  <c r="X12" i="4" s="1"/>
  <c r="W54" i="18"/>
  <c r="W12" i="4" s="1"/>
  <c r="V54" i="18"/>
  <c r="V12" i="4" s="1"/>
  <c r="U54" i="18"/>
  <c r="T54" i="18"/>
  <c r="T12" i="4" s="1"/>
  <c r="S54" i="18"/>
  <c r="R54" i="18"/>
  <c r="Q54" i="18"/>
  <c r="P54" i="18"/>
  <c r="P12" i="4" s="1"/>
  <c r="O54" i="18"/>
  <c r="N54" i="18"/>
  <c r="N12" i="4" s="1"/>
  <c r="M54" i="18"/>
  <c r="L54" i="18"/>
  <c r="K54" i="18"/>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B22" i="4"/>
  <c r="Z22" i="4"/>
  <c r="Y22" i="4"/>
  <c r="X22" i="4"/>
  <c r="V22" i="4"/>
  <c r="O22" i="4"/>
  <c r="J22" i="4"/>
  <c r="I22" i="4"/>
  <c r="D22" i="4"/>
  <c r="AU12" i="4"/>
  <c r="AS12" i="4"/>
  <c r="AC12" i="4"/>
  <c r="Y12" i="4"/>
  <c r="U12" i="4"/>
  <c r="S12" i="4"/>
  <c r="R12" i="4"/>
  <c r="Q12" i="4"/>
  <c r="O12" i="4"/>
  <c r="M12" i="4"/>
  <c r="L12" i="4"/>
  <c r="K12" i="4"/>
  <c r="J12" i="4"/>
  <c r="AU5" i="4"/>
  <c r="AT5" i="4"/>
  <c r="AS5" i="4"/>
  <c r="AC5" i="4"/>
  <c r="AB5" i="4"/>
  <c r="AA5" i="4"/>
  <c r="Z5" i="4"/>
  <c r="Y5" i="4"/>
  <c r="X5" i="4"/>
  <c r="W5" i="4"/>
  <c r="V5" i="4"/>
  <c r="U5" i="4"/>
  <c r="T5" i="4"/>
  <c r="S5" i="4"/>
  <c r="R5" i="4"/>
  <c r="Q5" i="4"/>
  <c r="P5" i="4"/>
  <c r="O5" i="4"/>
  <c r="N5" i="4"/>
  <c r="M5" i="4"/>
  <c r="L5" i="4"/>
  <c r="K5" i="4"/>
  <c r="J5" i="4"/>
  <c r="I5" i="4"/>
  <c r="H5" i="4"/>
  <c r="G5" i="4"/>
  <c r="F5" i="4"/>
  <c r="E5" i="4"/>
  <c r="D5" i="4"/>
  <c r="G24" i="10" l="1"/>
  <c r="G23" i="10"/>
  <c r="G27" i="10" s="1"/>
  <c r="L26" i="10"/>
  <c r="L30" i="10" s="1"/>
  <c r="X46" i="10"/>
  <c r="F41" i="10"/>
  <c r="F46" i="10" s="1"/>
  <c r="F47" i="10" s="1"/>
  <c r="F50" i="10" s="1"/>
  <c r="F52" i="10" s="1"/>
  <c r="C11" i="16" s="1"/>
  <c r="T13" i="10"/>
  <c r="X13" i="10"/>
  <c r="R13" i="10"/>
  <c r="Q13" i="10"/>
  <c r="J12" i="10"/>
  <c r="E12" i="10"/>
  <c r="I12" i="10"/>
  <c r="K12" i="10" s="1"/>
  <c r="D12" i="10"/>
  <c r="G31" i="10" l="1"/>
  <c r="G32" i="10" s="1"/>
  <c r="G33" i="10" s="1"/>
  <c r="G26" i="10"/>
  <c r="G30" i="10" s="1"/>
  <c r="F12"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<sst xmlns="http://schemas.openxmlformats.org/spreadsheetml/2006/main" count="566" uniqueCount="505">
  <si>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</si>
  <si>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</si>
  <si>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</si>
  <si>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</si>
  <si>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</si>
  <si>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</si>
  <si>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</si>
  <si>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</si>
  <si>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</si>
  <si>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</si>
  <si>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</si>
  <si>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</si>
  <si>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</si>
  <si>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</si>
  <si>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</si>
  <si>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</si>
  <si>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</si>
  <si>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</si>
  <si>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</si>
  <si>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</si>
  <si>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</si>
  <si>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</si>
  <si>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</si>
  <si>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</si>
  <si>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</si>
  <si>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</si>
  <si>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</si>
  <si>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</si>
  <si>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</si>
  <si>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</si>
  <si>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</si>
  <si>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</si>
  <si>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</si>
  <si>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</si>
  <si>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</si>
  <si>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</si>
  <si>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</si>
  <si>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</si>
  <si>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</si>
  <si>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</si>
  <si>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</si>
  <si>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</si>
  <si>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</si>
  <si>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</si>
  <si>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</si>
  <si>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</si>
  <si>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</si>
  <si>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</si>
  <si>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</si>
  <si>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</si>
  <si>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</si>
  <si>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</si>
  <si>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</si>
  <si>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</si>
  <si>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</si>
  <si>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</si>
  <si>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</si>
  <si>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</si>
  <si>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</si>
  <si>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</si>
  <si>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</si>
  <si>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</si>
  <si>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</si>
  <si>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</si>
  <si>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</si>
  <si>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</si>
  <si>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</si>
  <si>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</si>
  <si>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</si>
  <si>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</si>
  <si>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</si>
  <si>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</si>
  <si>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</si>
  <si>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</si>
  <si>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</si>
  <si>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</si>
  <si>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</si>
  <si>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</si>
  <si>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</si>
  <si>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</si>
  <si>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</si>
  <si>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</si>
  <si>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</si>
  <si>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</si>
  <si>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</si>
  <si>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</si>
  <si>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</si>
  <si>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</si>
  <si>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</si>
  <si>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</si>
  <si>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</si>
  <si>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</si>
  <si>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</si>
  <si>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</si>
  <si>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</si>
  <si>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</si>
  <si>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</si>
  <si>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</si>
  <si>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</si>
  <si>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</si>
  <si>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</si>
  <si>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</si>
  <si>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</si>
  <si>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</si>
  <si>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</si>
  <si>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</si>
  <si>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</si>
  <si>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</si>
  <si>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</si>
  <si>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</si>
  <si>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</si>
  <si>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</si>
  <si>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</si>
  <si>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</si>
  <si>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</si>
  <si>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</si>
  <si>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</si>
  <si>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</si>
  <si>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</si>
  <si>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</si>
  <si>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</si>
  <si>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</si>
  <si>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</si>
  <si>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</si>
  <si>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</si>
  <si>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</si>
  <si>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</si>
  <si>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</si>
  <si>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</si>
  <si>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</si>
  <si>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</si>
  <si>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</si>
  <si>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</si>
  <si>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</si>
  <si>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</si>
  <si>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</si>
  <si>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</si>
  <si>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</si>
  <si>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</si>
  <si>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</si>
  <si>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</si>
  <si>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</si>
  <si>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</si>
  <si>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</si>
  <si>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</si>
  <si>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</si>
  <si>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</si>
  <si>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</si>
  <si>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</si>
  <si>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</si>
  <si>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</si>
  <si>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</si>
  <si>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</si>
  <si>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</si>
  <si>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</si>
  <si>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</si>
  <si>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</si>
  <si>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</si>
  <si>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</si>
  <si>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</si>
  <si>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</si>
  <si>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</si>
  <si>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</si>
  <si>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</si>
  <si>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</si>
  <si>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</si>
  <si>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</si>
  <si>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</si>
  <si>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</si>
  <si>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</si>
  <si>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</si>
  <si>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</si>
  <si>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</si>
  <si>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</si>
  <si>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</si>
  <si>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</si>
  <si>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</si>
  <si>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</si>
  <si>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</si>
  <si>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</si>
  <si>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</si>
  <si>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</si>
  <si>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</si>
  <si>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</si>
  <si>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</si>
  <si>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</si>
  <si>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</si>
  <si>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</si>
  <si>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</si>
  <si>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</si>
  <si>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</si>
  <si>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</si>
  <si>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</si>
  <si>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</si>
  <si>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</si>
  <si>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</si>
  <si>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</si>
  <si>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</si>
  <si>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</si>
  <si>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</si>
  <si>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</si>
  <si>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</si>
  <si>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</si>
  <si>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</si>
  <si>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</si>
  <si>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</si>
  <si>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</si>
  <si>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</si>
  <si>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</si>
  <si>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</si>
  <si>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</si>
  <si>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</si>
  <si>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</si>
  <si>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</si>
  <si>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</si>
  <si>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</si>
  <si>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</si>
  <si>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</si>
  <si>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</si>
  <si>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</si>
  <si>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</si>
  <si>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</si>
  <si>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</si>
  <si>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</si>
  <si>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</si>
  <si>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</si>
  <si>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</si>
  <si>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</si>
  <si>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</si>
  <si>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</si>
  <si>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</si>
  <si>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</si>
  <si>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</si>
  <si>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</si>
  <si>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</si>
  <si>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</si>
  <si>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</si>
  <si>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</si>
  <si>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</si>
  <si>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</si>
  <si>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</si>
  <si>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</si>
  <si>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</si>
  <si>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</si>
  <si>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</si>
  <si>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</si>
  <si>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</si>
  <si>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</si>
  <si>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</si>
  <si>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</si>
  <si>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</si>
  <si>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</si>
  <si>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</si>
  <si>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</si>
  <si>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</si>
  <si>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</si>
  <si>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</si>
  <si>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</si>
  <si>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</si>
  <si>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</si>
  <si>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</si>
  <si>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</si>
  <si>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</si>
  <si>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</si>
  <si>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</si>
  <si>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</si>
  <si>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</si>
  <si>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</si>
  <si>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</si>
  <si>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</si>
  <si>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</si>
  <si>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</si>
  <si>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</si>
  <si>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</si>
  <si>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</si>
  <si>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</si>
  <si>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</si>
  <si>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</si>
  <si>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</si>
  <si>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</si>
  <si>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</si>
  <si>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</si>
  <si>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</si>
  <si>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</si>
  <si>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</si>
  <si>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</si>
  <si>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</si>
  <si>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</si>
  <si>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</si>
  <si>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</si>
  <si>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</si>
  <si>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</si>
  <si>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</si>
  <si>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</si>
  <si>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</si>
  <si>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</si>
  <si>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</si>
  <si>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</si>
  <si>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</si>
  <si>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</si>
  <si>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</si>
  <si>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</si>
  <si>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</si>
  <si>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</si>
  <si>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</si>
  <si>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</si>
  <si>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</si>
  <si>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</si>
  <si>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</si>
  <si>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</si>
  <si>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</si>
  <si>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</si>
  <si>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</si>
  <si>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</si>
  <si>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</si>
  <si>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</si>
  <si>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</si>
  <si>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</si>
  <si>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</si>
  <si>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</si>
  <si>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</si>
  <si>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</si>
  <si>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</si>
  <si>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</si>
  <si>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</si>
  <si>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</si>
  <si>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</si>
  <si>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</si>
  <si>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</si>
  <si>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</si>
  <si>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</si>
  <si>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</si>
  <si>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</si>
  <si>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</si>
  <si>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</si>
  <si>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</si>
  <si>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</si>
  <si>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</si>
  <si>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</si>
  <si>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</si>
  <si>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</si>
  <si>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</si>
  <si>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</si>
  <si>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</si>
  <si>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</si>
  <si>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</si>
  <si>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</si>
  <si>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</si>
  <si>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</si>
  <si>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</si>
  <si>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</si>
  <si>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</si>
  <si>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</si>
  <si>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</si>
  <si>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</si>
  <si>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</si>
  <si>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</si>
  <si>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</si>
  <si>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</si>
  <si>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</si>
  <si>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</si>
  <si>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</si>
  <si>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</si>
  <si>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</si>
  <si>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</si>
  <si>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</si>
  <si>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</si>
  <si>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</si>
  <si>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</si>
  <si>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</si>
  <si>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</si>
  <si>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</si>
  <si>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</si>
  <si>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</si>
  <si>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</si>
  <si>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</si>
  <si>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</si>
  <si>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</si>
  <si>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</si>
  <si>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</si>
  <si>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</si>
  <si>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</si>
  <si>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</si>
  <si>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</si>
  <si>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</si>
  <si>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</si>
  <si>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</si>
  <si>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</si>
  <si>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</si>
  <si>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</si>
  <si>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</si>
  <si>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</si>
  <si>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</si>
  <si>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</si>
  <si>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</si>
  <si>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</si>
  <si>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</si>
  <si>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</si>
  <si>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</si>
  <si>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</si>
  <si>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</si>
  <si>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</si>
  <si>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</si>
  <si>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</si>
  <si>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</si>
  <si>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</si>
  <si>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</si>
  <si>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</si>
  <si>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</si>
  <si>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</si>
  <si>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</si>
  <si>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</si>
  <si>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</si>
  <si>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</si>
  <si>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</si>
  <si>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</si>
  <si>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</si>
  <si>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</si>
  <si>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</si>
  <si>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</si>
  <si>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</si>
  <si>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</si>
  <si>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</si>
  <si>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</si>
  <si>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</si>
  <si>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</si>
  <si>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</si>
  <si>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</si>
  <si>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</si>
  <si>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</si>
  <si>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</si>
  <si>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</si>
  <si>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</si>
  <si>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</si>
  <si>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</si>
  <si>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</si>
  <si>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</si>
  <si>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</si>
  <si>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</si>
  <si>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</si>
  <si>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</si>
  <si>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</si>
  <si>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</si>
  <si>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</si>
  <si>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</si>
  <si>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</si>
  <si>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</si>
  <si>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</si>
  <si>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</si>
  <si>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</si>
  <si>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</si>
  <si>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</si>
  <si>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</si>
  <si>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</si>
  <si>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</si>
  <si>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</si>
  <si>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</si>
  <si>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</si>
  <si>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</si>
  <si>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</si>
  <si>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</si>
  <si>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</si>
  <si>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</si>
  <si>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</si>
  <si>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</si>
  <si>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</si>
  <si>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</si>
  <si>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</si>
  <si>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</si>
  <si>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</si>
  <si>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</si>
  <si>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</si>
  <si>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</si>
  <si>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</si>
  <si>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</si>
  <si>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</si>
  <si>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</si>
  <si>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</si>
  <si>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</si>
  <si>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</si>
  <si>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</si>
  <si>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</si>
  <si>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</si>
  <si>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</si>
  <si>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</si>
  <si>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</si>
  <si>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</si>
  <si>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</si>
  <si>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</si>
  <si>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</si>
  <si>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</si>
  <si>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</si>
  <si>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</si>
  <si>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</si>
  <si>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</si>
  <si>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</si>
  <si>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</si>
  <si>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</si>
  <si>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</si>
  <si>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</si>
  <si>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</si>
  <si>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</si>
  <si>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</si>
  <si>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17808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</si>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</sst>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183</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4063176</v>
      </c>
      <c r="E5" s="112">
        <f>SUM('Pt 2 Premium and Claims'!E$5,'Pt 2 Premium and Claims'!E$6,-'Pt 2 Premium and Claims'!E$7,-'Pt 2 Premium and Claims'!E$13,'Pt 2 Premium and Claims'!E$14:'Pt 2 Premium and Claims'!E$17)</f>
        <v>3997720.41</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64873.000000000007</v>
      </c>
      <c r="K5" s="112">
        <f>SUM('Pt 2 Premium and Claims'!K$5,'Pt 2 Premium and Claims'!K$6,-'Pt 2 Premium and Claims'!K$7,-'Pt 2 Premium and Claims'!K$13,'Pt 2 Premium and Claims'!K$14,'Pt 2 Premium and Claims'!K$16:'Pt 2 Premium and Claims'!K$17)</f>
        <v>61623.530000000006</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433962707</v>
      </c>
      <c r="AT5" s="113">
        <f>SUM('Pt 2 Premium and Claims'!AT$5,'Pt 2 Premium and Claims'!AT$6,-'Pt 2 Premium and Claims'!AT$7,-'Pt 2 Premium and Claims'!AT$13,'Pt 2 Premium and Claims'!AT$14)</f>
        <v>9092392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-8634</v>
      </c>
      <c r="E7" s="116">
        <v>-8634</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-9674</v>
      </c>
      <c r="E8" s="295"/>
      <c r="F8" s="296"/>
      <c r="G8" s="296"/>
      <c r="H8" s="296"/>
      <c r="I8" s="299"/>
      <c r="J8" s="115">
        <v>-66</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-400915</v>
      </c>
      <c r="AT8" s="119">
        <v>-22761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3366962</v>
      </c>
      <c r="E12" s="112">
        <f>'Pt 2 Premium and Claims'!E$54</f>
        <v>4017044.4005000009</v>
      </c>
      <c r="F12" s="112">
        <f>'Pt 2 Premium and Claims'!F$54</f>
        <v>0</v>
      </c>
      <c r="G12" s="112">
        <f>'Pt 2 Premium and Claims'!G$54</f>
        <v>0</v>
      </c>
      <c r="H12" s="112">
        <f>'Pt 2 Premium and Claims'!H$54</f>
        <v>0</v>
      </c>
      <c r="I12" s="111">
        <f>'Pt 2 Premium and Claims'!I$54</f>
        <v>0</v>
      </c>
      <c r="J12" s="111">
        <f>'Pt 2 Premium and Claims'!J$54</f>
        <v>85726</v>
      </c>
      <c r="K12" s="112">
        <f>'Pt 2 Premium and Claims'!K$54</f>
        <v>57648.896799999988</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347306173</v>
      </c>
      <c r="AT12" s="113">
        <f>'Pt 2 Premium and Claims'!AT$54</f>
        <v>5649643</v>
      </c>
      <c r="AU12" s="113">
        <f>'Pt 2 Premium and Claims'!AU$54</f>
        <v>0</v>
      </c>
      <c r="AV12" s="318"/>
      <c r="AW12" s="323"/>
    </row>
    <row r="13" spans="1:49" ht="25.5" x14ac:dyDescent="0.2">
      <c r="B13" s="161" t="s">
        <v>230</v>
      </c>
      <c r="C13" s="68" t="s">
        <v>37</v>
      </c>
      <c r="D13" s="115">
        <v>193003</v>
      </c>
      <c r="E13" s="116">
        <v>197174.21000000002</v>
      </c>
      <c r="F13" s="116"/>
      <c r="G13" s="295"/>
      <c r="H13" s="296"/>
      <c r="I13" s="115"/>
      <c r="J13" s="115">
        <v>460</v>
      </c>
      <c r="K13" s="116">
        <v>461.04999999999995</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92756876</v>
      </c>
      <c r="AT13" s="119">
        <v>363</v>
      </c>
      <c r="AU13" s="119"/>
      <c r="AV13" s="317"/>
      <c r="AW13" s="324"/>
    </row>
    <row r="14" spans="1:49" ht="25.5" x14ac:dyDescent="0.2">
      <c r="B14" s="161" t="s">
        <v>231</v>
      </c>
      <c r="C14" s="68" t="s">
        <v>6</v>
      </c>
      <c r="D14" s="115">
        <v>16228.000000000002</v>
      </c>
      <c r="E14" s="116">
        <v>15288.769999999999</v>
      </c>
      <c r="F14" s="116"/>
      <c r="G14" s="294"/>
      <c r="H14" s="297"/>
      <c r="I14" s="115"/>
      <c r="J14" s="115">
        <v>18</v>
      </c>
      <c r="K14" s="116">
        <v>21.24</v>
      </c>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27222578</v>
      </c>
      <c r="AT14" s="119">
        <v>-228</v>
      </c>
      <c r="AU14" s="119"/>
      <c r="AV14" s="317"/>
      <c r="AW14" s="324"/>
    </row>
    <row r="15" spans="1:49" ht="38.25" x14ac:dyDescent="0.2">
      <c r="B15" s="161" t="s">
        <v>232</v>
      </c>
      <c r="C15" s="68" t="s">
        <v>7</v>
      </c>
      <c r="D15" s="115">
        <v>121</v>
      </c>
      <c r="E15" s="116">
        <v>121</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14103</v>
      </c>
      <c r="AT15" s="119">
        <v>348</v>
      </c>
      <c r="AU15" s="119"/>
      <c r="AV15" s="317"/>
      <c r="AW15" s="324"/>
    </row>
    <row r="16" spans="1:49" ht="25.5" x14ac:dyDescent="0.2">
      <c r="B16" s="161" t="s">
        <v>233</v>
      </c>
      <c r="C16" s="68" t="s">
        <v>61</v>
      </c>
      <c r="D16" s="115">
        <v>-3694</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-211844</v>
      </c>
      <c r="AT16" s="119">
        <v>1460291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-182002</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5088</v>
      </c>
      <c r="E22" s="121">
        <f>'Pt 2 Premium and Claims'!E$55</f>
        <v>5088</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-167185.43830000001</v>
      </c>
      <c r="E25" s="116">
        <v>-167185.43830000001</v>
      </c>
      <c r="F25" s="116"/>
      <c r="G25" s="116"/>
      <c r="H25" s="116"/>
      <c r="I25" s="115"/>
      <c r="J25" s="115">
        <v>-10797.693209999999</v>
      </c>
      <c r="K25" s="116">
        <v>-10797.693209999999</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10091144.289999999</v>
      </c>
      <c r="AT25" s="119">
        <v>-44322.654739999998</v>
      </c>
      <c r="AU25" s="119"/>
      <c r="AV25" s="119"/>
      <c r="AW25" s="324"/>
    </row>
    <row r="26" spans="1:49" s="11" customFormat="1" x14ac:dyDescent="0.2">
      <c r="A26" s="41"/>
      <c r="B26" s="164" t="s">
        <v>243</v>
      </c>
      <c r="C26" s="68"/>
      <c r="D26" s="115"/>
      <c r="E26" s="116">
        <v>2576.7799999999997</v>
      </c>
      <c r="F26" s="116"/>
      <c r="G26" s="116"/>
      <c r="H26" s="116"/>
      <c r="I26" s="115"/>
      <c r="J26" s="115"/>
      <c r="K26" s="116">
        <v>18.689999999999998</v>
      </c>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50701.17</v>
      </c>
      <c r="E27" s="116">
        <v>50701.17</v>
      </c>
      <c r="F27" s="116"/>
      <c r="G27" s="116"/>
      <c r="H27" s="116"/>
      <c r="I27" s="115"/>
      <c r="J27" s="115">
        <v>805.09000000000015</v>
      </c>
      <c r="K27" s="116">
        <v>805.09000000000015</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5399322.8899999997</v>
      </c>
      <c r="AT27" s="119">
        <v>41129.5</v>
      </c>
      <c r="AU27" s="119"/>
      <c r="AV27" s="320"/>
      <c r="AW27" s="324"/>
    </row>
    <row r="28" spans="1:49" s="11" customFormat="1" x14ac:dyDescent="0.2">
      <c r="A28" s="41"/>
      <c r="B28" s="164" t="s">
        <v>245</v>
      </c>
      <c r="C28" s="68"/>
      <c r="D28" s="115">
        <v>85487.21</v>
      </c>
      <c r="E28" s="116">
        <v>12411.25</v>
      </c>
      <c r="F28" s="116"/>
      <c r="G28" s="116"/>
      <c r="H28" s="116"/>
      <c r="I28" s="115"/>
      <c r="J28" s="115">
        <v>861.25</v>
      </c>
      <c r="K28" s="116">
        <v>142.41</v>
      </c>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26854.239999999998</v>
      </c>
      <c r="AT28" s="119">
        <v>2789.57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-10244.747429999999</v>
      </c>
      <c r="E30" s="116">
        <v>-8972.0474299999987</v>
      </c>
      <c r="F30" s="116"/>
      <c r="G30" s="116"/>
      <c r="H30" s="116"/>
      <c r="I30" s="115"/>
      <c r="J30" s="115">
        <v>-731.7610883000001</v>
      </c>
      <c r="K30" s="116">
        <v>-717.23108830000012</v>
      </c>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765648.88430000003</v>
      </c>
      <c r="AT30" s="119">
        <v>-491.35892099999728</v>
      </c>
      <c r="AU30" s="119"/>
      <c r="AV30" s="119"/>
      <c r="AW30" s="324"/>
    </row>
    <row r="31" spans="1:49" x14ac:dyDescent="0.2">
      <c r="B31" s="164" t="s">
        <v>248</v>
      </c>
      <c r="C31" s="68"/>
      <c r="D31" s="115">
        <v>78904.320000000007</v>
      </c>
      <c r="E31" s="116">
        <v>78730.36</v>
      </c>
      <c r="F31" s="116"/>
      <c r="G31" s="116"/>
      <c r="H31" s="116"/>
      <c r="I31" s="115"/>
      <c r="J31" s="115">
        <v>1735.6</v>
      </c>
      <c r="K31" s="116">
        <v>1735.6</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177370.28000000003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83563.340000000011</v>
      </c>
      <c r="F34" s="116"/>
      <c r="G34" s="116"/>
      <c r="H34" s="116"/>
      <c r="I34" s="115"/>
      <c r="J34" s="115"/>
      <c r="K34" s="116">
        <v>837.28</v>
      </c>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3429.72</v>
      </c>
      <c r="E35" s="116">
        <v>3445.8799999999997</v>
      </c>
      <c r="F35" s="116"/>
      <c r="G35" s="116"/>
      <c r="H35" s="116"/>
      <c r="I35" s="115"/>
      <c r="J35" s="115">
        <v>38.71</v>
      </c>
      <c r="K35" s="116">
        <v>39.67</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251449.49</v>
      </c>
      <c r="AT35" s="119">
        <v>7826.3899999999994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11741</v>
      </c>
      <c r="E37" s="124">
        <v>11740.550000000003</v>
      </c>
      <c r="F37" s="124"/>
      <c r="G37" s="124"/>
      <c r="H37" s="124"/>
      <c r="I37" s="123"/>
      <c r="J37" s="123">
        <v>114</v>
      </c>
      <c r="K37" s="124">
        <v>114.25</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3132937</v>
      </c>
      <c r="AT37" s="125">
        <v>483</v>
      </c>
      <c r="AU37" s="125"/>
      <c r="AV37" s="125"/>
      <c r="AW37" s="323"/>
    </row>
    <row r="38" spans="1:49" x14ac:dyDescent="0.2">
      <c r="B38" s="161" t="s">
        <v>255</v>
      </c>
      <c r="C38" s="68" t="s">
        <v>16</v>
      </c>
      <c r="D38" s="115">
        <v>2456</v>
      </c>
      <c r="E38" s="116">
        <v>2455.58</v>
      </c>
      <c r="F38" s="116"/>
      <c r="G38" s="116"/>
      <c r="H38" s="116"/>
      <c r="I38" s="115"/>
      <c r="J38" s="115">
        <v>55</v>
      </c>
      <c r="K38" s="116">
        <v>55.18</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1164314</v>
      </c>
      <c r="AT38" s="119">
        <v>-2</v>
      </c>
      <c r="AU38" s="119"/>
      <c r="AV38" s="119"/>
      <c r="AW38" s="324"/>
    </row>
    <row r="39" spans="1:49" x14ac:dyDescent="0.2">
      <c r="B39" s="164" t="s">
        <v>256</v>
      </c>
      <c r="C39" s="68" t="s">
        <v>17</v>
      </c>
      <c r="D39" s="115">
        <v>9506</v>
      </c>
      <c r="E39" s="116">
        <v>9505.5599999999977</v>
      </c>
      <c r="F39" s="116"/>
      <c r="G39" s="116"/>
      <c r="H39" s="116"/>
      <c r="I39" s="115"/>
      <c r="J39" s="115">
        <v>1766</v>
      </c>
      <c r="K39" s="116">
        <v>1766.19</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872934</v>
      </c>
      <c r="AT39" s="119">
        <v>3163</v>
      </c>
      <c r="AU39" s="119"/>
      <c r="AV39" s="119"/>
      <c r="AW39" s="324"/>
    </row>
    <row r="40" spans="1:49" x14ac:dyDescent="0.2">
      <c r="B40" s="164" t="s">
        <v>257</v>
      </c>
      <c r="C40" s="68" t="s">
        <v>38</v>
      </c>
      <c r="D40" s="115">
        <v>1166</v>
      </c>
      <c r="E40" s="116">
        <v>1165.79</v>
      </c>
      <c r="F40" s="116"/>
      <c r="G40" s="116"/>
      <c r="H40" s="116"/>
      <c r="I40" s="115"/>
      <c r="J40" s="115">
        <v>300</v>
      </c>
      <c r="K40" s="116">
        <v>299.91999999999996</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2499032</v>
      </c>
      <c r="AT40" s="119">
        <v>12003</v>
      </c>
      <c r="AU40" s="119"/>
      <c r="AV40" s="119"/>
      <c r="AW40" s="324"/>
    </row>
    <row r="41" spans="1:49" s="11" customFormat="1" ht="25.5" x14ac:dyDescent="0.2">
      <c r="A41" s="41"/>
      <c r="B41" s="164" t="s">
        <v>258</v>
      </c>
      <c r="C41" s="68" t="s">
        <v>129</v>
      </c>
      <c r="D41" s="115">
        <v>6240</v>
      </c>
      <c r="E41" s="116">
        <v>6239.73</v>
      </c>
      <c r="F41" s="116"/>
      <c r="G41" s="116"/>
      <c r="H41" s="116"/>
      <c r="I41" s="115"/>
      <c r="J41" s="115">
        <v>24</v>
      </c>
      <c r="K41" s="116">
        <v>24.04</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1177139</v>
      </c>
      <c r="AT41" s="119">
        <v>12041</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41298</v>
      </c>
      <c r="E44" s="124">
        <v>41298</v>
      </c>
      <c r="F44" s="124"/>
      <c r="G44" s="124"/>
      <c r="H44" s="124"/>
      <c r="I44" s="123"/>
      <c r="J44" s="123">
        <v>537</v>
      </c>
      <c r="K44" s="124">
        <v>537</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5234421</v>
      </c>
      <c r="AT44" s="125">
        <v>27884</v>
      </c>
      <c r="AU44" s="125"/>
      <c r="AV44" s="125"/>
      <c r="AW44" s="323"/>
    </row>
    <row r="45" spans="1:49" x14ac:dyDescent="0.2">
      <c r="B45" s="167" t="s">
        <v>262</v>
      </c>
      <c r="C45" s="68" t="s">
        <v>19</v>
      </c>
      <c r="D45" s="115">
        <v>39004</v>
      </c>
      <c r="E45" s="116">
        <v>39004</v>
      </c>
      <c r="F45" s="116"/>
      <c r="G45" s="116"/>
      <c r="H45" s="116"/>
      <c r="I45" s="115"/>
      <c r="J45" s="115">
        <v>222</v>
      </c>
      <c r="K45" s="116">
        <v>222</v>
      </c>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5008860</v>
      </c>
      <c r="AT45" s="119">
        <v>105643</v>
      </c>
      <c r="AU45" s="119"/>
      <c r="AV45" s="119"/>
      <c r="AW45" s="324"/>
    </row>
    <row r="46" spans="1:49" x14ac:dyDescent="0.2">
      <c r="B46" s="167" t="s">
        <v>263</v>
      </c>
      <c r="C46" s="68" t="s">
        <v>20</v>
      </c>
      <c r="D46" s="115">
        <v>47474</v>
      </c>
      <c r="E46" s="116">
        <v>47474</v>
      </c>
      <c r="F46" s="116"/>
      <c r="G46" s="116"/>
      <c r="H46" s="116"/>
      <c r="I46" s="115"/>
      <c r="J46" s="115">
        <v>1075</v>
      </c>
      <c r="K46" s="116">
        <v>1075</v>
      </c>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5188410</v>
      </c>
      <c r="AT46" s="119">
        <v>58285</v>
      </c>
      <c r="AU46" s="119"/>
      <c r="AV46" s="119"/>
      <c r="AW46" s="324"/>
    </row>
    <row r="47" spans="1:49" x14ac:dyDescent="0.2">
      <c r="B47" s="167" t="s">
        <v>264</v>
      </c>
      <c r="C47" s="68" t="s">
        <v>21</v>
      </c>
      <c r="D47" s="115">
        <v>166386</v>
      </c>
      <c r="E47" s="116">
        <v>166386</v>
      </c>
      <c r="F47" s="116"/>
      <c r="G47" s="116"/>
      <c r="H47" s="116"/>
      <c r="I47" s="115"/>
      <c r="J47" s="115">
        <v>2186</v>
      </c>
      <c r="K47" s="116">
        <v>2186</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4036227</v>
      </c>
      <c r="AT47" s="119">
        <v>870412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25504.797429999999</v>
      </c>
      <c r="E49" s="116">
        <v>12195.17743</v>
      </c>
      <c r="F49" s="116"/>
      <c r="G49" s="116"/>
      <c r="H49" s="116"/>
      <c r="I49" s="115"/>
      <c r="J49" s="115">
        <v>903.7610883000001</v>
      </c>
      <c r="K49" s="116">
        <v>751.14108830000009</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1430445.5157000001</v>
      </c>
      <c r="AT49" s="119">
        <v>32715.988920999993</v>
      </c>
      <c r="AU49" s="119"/>
      <c r="AV49" s="119"/>
      <c r="AW49" s="324"/>
    </row>
    <row r="50" spans="2:49" ht="25.5" x14ac:dyDescent="0.2">
      <c r="B50" s="161" t="s">
        <v>266</v>
      </c>
      <c r="C50" s="68"/>
      <c r="D50" s="115">
        <v>180.7</v>
      </c>
      <c r="E50" s="116">
        <v>180.7</v>
      </c>
      <c r="F50" s="116"/>
      <c r="G50" s="116"/>
      <c r="H50" s="116"/>
      <c r="I50" s="115"/>
      <c r="J50" s="115">
        <v>1.84</v>
      </c>
      <c r="K50" s="116">
        <v>1.84</v>
      </c>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15678.540000000005</v>
      </c>
      <c r="AT50" s="119">
        <v>390.53999999999996</v>
      </c>
      <c r="AU50" s="119"/>
      <c r="AV50" s="119"/>
      <c r="AW50" s="324"/>
    </row>
    <row r="51" spans="2:49" x14ac:dyDescent="0.2">
      <c r="B51" s="161" t="s">
        <v>267</v>
      </c>
      <c r="C51" s="68"/>
      <c r="D51" s="115">
        <v>355568</v>
      </c>
      <c r="E51" s="116">
        <v>355568</v>
      </c>
      <c r="F51" s="116"/>
      <c r="G51" s="116"/>
      <c r="H51" s="116"/>
      <c r="I51" s="115"/>
      <c r="J51" s="115">
        <v>3523</v>
      </c>
      <c r="K51" s="116">
        <v>3523</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24266571</v>
      </c>
      <c r="AT51" s="119">
        <v>827537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647</v>
      </c>
      <c r="E56" s="128">
        <v>646</v>
      </c>
      <c r="F56" s="128"/>
      <c r="G56" s="128"/>
      <c r="H56" s="128"/>
      <c r="I56" s="127"/>
      <c r="J56" s="127">
        <v>1</v>
      </c>
      <c r="K56" s="128">
        <v>3</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62214</v>
      </c>
      <c r="AT56" s="129">
        <v>16513</v>
      </c>
      <c r="AU56" s="129"/>
      <c r="AV56" s="129"/>
      <c r="AW56" s="315"/>
    </row>
    <row r="57" spans="2:49" x14ac:dyDescent="0.2">
      <c r="B57" s="167" t="s">
        <v>273</v>
      </c>
      <c r="C57" s="68" t="s">
        <v>25</v>
      </c>
      <c r="D57" s="130">
        <v>1025</v>
      </c>
      <c r="E57" s="131">
        <v>1028</v>
      </c>
      <c r="F57" s="131"/>
      <c r="G57" s="131"/>
      <c r="H57" s="131"/>
      <c r="I57" s="130"/>
      <c r="J57" s="130">
        <v>3</v>
      </c>
      <c r="K57" s="131">
        <v>3</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98023</v>
      </c>
      <c r="AT57" s="132">
        <v>25995</v>
      </c>
      <c r="AU57" s="132"/>
      <c r="AV57" s="132"/>
      <c r="AW57" s="316"/>
    </row>
    <row r="58" spans="2:49" x14ac:dyDescent="0.2">
      <c r="B58" s="167" t="s">
        <v>274</v>
      </c>
      <c r="C58" s="68" t="s">
        <v>26</v>
      </c>
      <c r="D58" s="336"/>
      <c r="E58" s="337"/>
      <c r="F58" s="337"/>
      <c r="G58" s="337"/>
      <c r="H58" s="337"/>
      <c r="I58" s="336"/>
      <c r="J58" s="130">
        <v>1</v>
      </c>
      <c r="K58" s="131">
        <v>1</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23</v>
      </c>
      <c r="AT58" s="132">
        <v>247</v>
      </c>
      <c r="AU58" s="132"/>
      <c r="AV58" s="132"/>
      <c r="AW58" s="316"/>
    </row>
    <row r="59" spans="2:49" x14ac:dyDescent="0.2">
      <c r="B59" s="167" t="s">
        <v>275</v>
      </c>
      <c r="C59" s="68" t="s">
        <v>27</v>
      </c>
      <c r="D59" s="130">
        <v>14504</v>
      </c>
      <c r="E59" s="131">
        <v>14566</v>
      </c>
      <c r="F59" s="131"/>
      <c r="G59" s="131"/>
      <c r="H59" s="131"/>
      <c r="I59" s="130"/>
      <c r="J59" s="130">
        <v>109</v>
      </c>
      <c r="K59" s="131">
        <v>109</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1147290</v>
      </c>
      <c r="AT59" s="132">
        <v>205745</v>
      </c>
      <c r="AU59" s="132"/>
      <c r="AV59" s="132"/>
      <c r="AW59" s="316"/>
    </row>
    <row r="60" spans="2:49" x14ac:dyDescent="0.2">
      <c r="B60" s="167" t="s">
        <v>276</v>
      </c>
      <c r="C60" s="68"/>
      <c r="D60" s="133">
        <f>D$59/12</f>
        <v>1208.6666666666667</v>
      </c>
      <c r="E60" s="134">
        <f>E$59/12</f>
        <v>1213.8333333333333</v>
      </c>
      <c r="F60" s="134">
        <f>F$59/12</f>
        <v>0</v>
      </c>
      <c r="G60" s="134">
        <f>G$59/12</f>
        <v>0</v>
      </c>
      <c r="H60" s="134">
        <f>H$59/12</f>
        <v>0</v>
      </c>
      <c r="I60" s="133">
        <f>I$59/12</f>
        <v>0</v>
      </c>
      <c r="J60" s="133">
        <f>J$59/12</f>
        <v>9.0833333333333339</v>
      </c>
      <c r="K60" s="134">
        <f>K$59/12</f>
        <v>9.0833333333333339</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95607.5</v>
      </c>
      <c r="AT60" s="135">
        <f>AT$59/12</f>
        <v>17145.416666666668</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4056300</v>
      </c>
      <c r="E5" s="124">
        <v>3970049.62</v>
      </c>
      <c r="F5" s="124"/>
      <c r="G5" s="136"/>
      <c r="H5" s="136"/>
      <c r="I5" s="123"/>
      <c r="J5" s="123">
        <v>64873.000000000007</v>
      </c>
      <c r="K5" s="124">
        <v>64853.320000000007</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433962707</v>
      </c>
      <c r="AT5" s="125">
        <v>9139012</v>
      </c>
      <c r="AU5" s="125"/>
      <c r="AV5" s="318"/>
      <c r="AW5" s="323"/>
    </row>
    <row r="6" spans="2:49" x14ac:dyDescent="0.2">
      <c r="B6" s="182" t="s">
        <v>279</v>
      </c>
      <c r="C6" s="139" t="s">
        <v>8</v>
      </c>
      <c r="D6" s="115">
        <v>31426.000000000004</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18917</v>
      </c>
      <c r="AU6" s="119"/>
      <c r="AV6" s="317"/>
      <c r="AW6" s="324"/>
    </row>
    <row r="7" spans="2:49" x14ac:dyDescent="0.2">
      <c r="B7" s="182" t="s">
        <v>280</v>
      </c>
      <c r="C7" s="139" t="s">
        <v>9</v>
      </c>
      <c r="D7" s="115">
        <v>24550</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65537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-9045878</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-7029536</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2760.1500000000015</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24910.639999999999</v>
      </c>
      <c r="F16" s="116"/>
      <c r="G16" s="116"/>
      <c r="H16" s="116"/>
      <c r="I16" s="115"/>
      <c r="J16" s="115"/>
      <c r="K16" s="116">
        <v>-3229.79</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54071</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4247</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4155103</v>
      </c>
      <c r="E23" s="294"/>
      <c r="F23" s="294"/>
      <c r="G23" s="294"/>
      <c r="H23" s="294"/>
      <c r="I23" s="298"/>
      <c r="J23" s="115">
        <v>90889</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346783883</v>
      </c>
      <c r="AT23" s="119">
        <v>5481968</v>
      </c>
      <c r="AU23" s="119"/>
      <c r="AV23" s="317"/>
      <c r="AW23" s="324"/>
    </row>
    <row r="24" spans="2:49" ht="28.5" customHeight="1" x14ac:dyDescent="0.2">
      <c r="B24" s="184" t="s">
        <v>114</v>
      </c>
      <c r="C24" s="139"/>
      <c r="D24" s="299"/>
      <c r="E24" s="116">
        <v>4211333.3100000005</v>
      </c>
      <c r="F24" s="116"/>
      <c r="G24" s="116"/>
      <c r="H24" s="116"/>
      <c r="I24" s="115"/>
      <c r="J24" s="299"/>
      <c r="K24" s="116">
        <v>57508.099999999991</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428994</v>
      </c>
      <c r="E26" s="294"/>
      <c r="F26" s="294"/>
      <c r="G26" s="294"/>
      <c r="H26" s="294"/>
      <c r="I26" s="298"/>
      <c r="J26" s="115">
        <v>976</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33589882</v>
      </c>
      <c r="AT26" s="119">
        <v>919199</v>
      </c>
      <c r="AU26" s="119"/>
      <c r="AV26" s="317"/>
      <c r="AW26" s="324"/>
    </row>
    <row r="27" spans="2:49" s="11" customFormat="1" ht="25.5" x14ac:dyDescent="0.2">
      <c r="B27" s="184" t="s">
        <v>85</v>
      </c>
      <c r="C27" s="139"/>
      <c r="D27" s="299"/>
      <c r="E27" s="116">
        <v>85299.860499999995</v>
      </c>
      <c r="F27" s="116"/>
      <c r="G27" s="116"/>
      <c r="H27" s="116"/>
      <c r="I27" s="115"/>
      <c r="J27" s="299"/>
      <c r="K27" s="116">
        <v>280.08679999999998</v>
      </c>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952996</v>
      </c>
      <c r="E28" s="295"/>
      <c r="F28" s="295"/>
      <c r="G28" s="295"/>
      <c r="H28" s="295"/>
      <c r="I28" s="299"/>
      <c r="J28" s="115">
        <v>6635</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30290574</v>
      </c>
      <c r="AT28" s="119">
        <v>672956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304</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137068</v>
      </c>
      <c r="AU30" s="119"/>
      <c r="AV30" s="317"/>
      <c r="AW30" s="324"/>
    </row>
    <row r="31" spans="2:49" s="11" customFormat="1" ht="25.5" x14ac:dyDescent="0.2">
      <c r="B31" s="184" t="s">
        <v>84</v>
      </c>
      <c r="C31" s="139"/>
      <c r="D31" s="299"/>
      <c r="E31" s="116"/>
      <c r="F31" s="116"/>
      <c r="G31" s="116"/>
      <c r="H31" s="116"/>
      <c r="I31" s="115"/>
      <c r="J31" s="299"/>
      <c r="K31" s="116">
        <v>-118.05000000000001</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422</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215795.00000000003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573867</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573867</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838167</v>
      </c>
      <c r="E36" s="116">
        <v>838167</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968361</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-9045878</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-7029536</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-136</v>
      </c>
      <c r="E49" s="116">
        <v>15288.769999999999</v>
      </c>
      <c r="F49" s="116"/>
      <c r="G49" s="116"/>
      <c r="H49" s="116"/>
      <c r="I49" s="115"/>
      <c r="J49" s="115">
        <v>-506</v>
      </c>
      <c r="K49" s="116">
        <v>21.24</v>
      </c>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6347907</v>
      </c>
      <c r="AT49" s="119">
        <v>59</v>
      </c>
      <c r="AU49" s="119"/>
      <c r="AV49" s="317"/>
      <c r="AW49" s="324"/>
    </row>
    <row r="50" spans="2:49" x14ac:dyDescent="0.2">
      <c r="B50" s="182" t="s">
        <v>119</v>
      </c>
      <c r="C50" s="139" t="s">
        <v>34</v>
      </c>
      <c r="D50" s="115">
        <v>25</v>
      </c>
      <c r="E50" s="295"/>
      <c r="F50" s="295"/>
      <c r="G50" s="295"/>
      <c r="H50" s="295"/>
      <c r="I50" s="299"/>
      <c r="J50" s="115">
        <v>108</v>
      </c>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4618870</v>
      </c>
      <c r="AT50" s="119">
        <v>218</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0</v>
      </c>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3366962</v>
      </c>
      <c r="E54" s="121">
        <f>E24+E27+E31+E35-E36+E39+E42+E45+E46-E49+E51+E52+E53</f>
        <v>4017044.4005000009</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85726</v>
      </c>
      <c r="K54" s="121">
        <f>K24+K27+K31+K35-K36+K39+K42+K45+K46-K49+K51+K52+K53</f>
        <v>57648.896799999988</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347306173</v>
      </c>
      <c r="AT54" s="122">
        <f>AT23+AT26-AT28+AT30-AT32+AT34-AT36+AT38+AT41-AT43+AT45+AT46-AT47-AT49+AT50+AT51+AT52+AT53</f>
        <v>5649643</v>
      </c>
      <c r="AU54" s="122">
        <f>AU23+AU26-AU28+AU30-AU32+AU34-AU36+AU38+AU41-AU43+AU45+AU46-AU47-AU49+AU50+AU51+AU52+AU53</f>
        <v>0</v>
      </c>
      <c r="AV54" s="317"/>
      <c r="AW54" s="324"/>
    </row>
    <row r="55" spans="2:49" ht="25.5" x14ac:dyDescent="0.2">
      <c r="B55" s="187" t="s">
        <v>304</v>
      </c>
      <c r="C55" s="143" t="s">
        <v>28</v>
      </c>
      <c r="D55" s="120">
        <f>MIN(MAX(0,D56),MAX(0,D57))</f>
        <v>5088</v>
      </c>
      <c r="E55" s="121">
        <f>MIN(MAX(0,E56),MAX(0,E57))</f>
        <v>5088</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5088</v>
      </c>
      <c r="E56" s="116">
        <v>5088</v>
      </c>
      <c r="F56" s="116"/>
      <c r="G56" s="116"/>
      <c r="H56" s="116"/>
      <c r="I56" s="115"/>
      <c r="J56" s="115">
        <v>65</v>
      </c>
      <c r="K56" s="116">
        <v>65</v>
      </c>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90481</v>
      </c>
      <c r="E57" s="116">
        <v>90481</v>
      </c>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6231129</v>
      </c>
      <c r="AT57" s="119">
        <v>1032</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7645712.9399999985</v>
      </c>
      <c r="D5" s="124">
        <v>6132327.9555000002</v>
      </c>
      <c r="E5" s="352"/>
      <c r="F5" s="352"/>
      <c r="G5" s="318"/>
      <c r="H5" s="123">
        <v>34795.269999999997</v>
      </c>
      <c r="I5" s="124">
        <v>8819.8143</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7877436.5399999991</v>
      </c>
      <c r="D6" s="116">
        <v>6089392.7924999995</v>
      </c>
      <c r="E6" s="121">
        <f>SUM('Pt 1 Summary of Data'!E$12,'Pt 1 Summary of Data'!E$22)+SUM('Pt 1 Summary of Data'!G$12,'Pt 1 Summary of Data'!G$22)-SUM('Pt 1 Summary of Data'!H$12,'Pt 1 Summary of Data'!H$22)</f>
        <v>4022132.4005000009</v>
      </c>
      <c r="F6" s="121">
        <f>SUM(C6:E6)</f>
        <v>17988961.732999999</v>
      </c>
      <c r="G6" s="122">
        <f>SUM('Pt 1 Summary of Data'!I$12,'Pt 1 Summary of Data'!I$22)</f>
        <v>0</v>
      </c>
      <c r="H6" s="115">
        <v>34868.599999999984</v>
      </c>
      <c r="I6" s="116">
        <v>37199.83419999999</v>
      </c>
      <c r="J6" s="121">
        <f>SUM('Pt 1 Summary of Data'!K$12,'Pt 1 Summary of Data'!K$22)+SUM('Pt 1 Summary of Data'!M$12,'Pt 1 Summary of Data'!M$22)-SUM('Pt 1 Summary of Data'!N$12,'Pt 1 Summary of Data'!N$22)</f>
        <v>57648.896799999988</v>
      </c>
      <c r="K6" s="121">
        <f>SUM(H6:J6)</f>
        <v>129717.33099999996</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67257.81</v>
      </c>
      <c r="D7" s="116">
        <v>56214.9</v>
      </c>
      <c r="E7" s="121">
        <f>SUM('Pt 1 Summary of Data'!E$37:E$41)+SUM('Pt 1 Summary of Data'!G$37:G$41)-SUM('Pt 1 Summary of Data'!H$37:H$41)+MAX(0,MIN('Pt 1 Summary of Data'!E$42+'Pt 1 Summary of Data'!G$42-'Pt 1 Summary of Data'!H$42,0.3%*('Pt 1 Summary of Data'!E$5+'Pt 1 Summary of Data'!G$5-'Pt 1 Summary of Data'!H$5-SUM(E$9:E$11))))</f>
        <v>31107.210000000003</v>
      </c>
      <c r="F7" s="121">
        <f>SUM(C7:E7)</f>
        <v>154579.91999999998</v>
      </c>
      <c r="G7" s="122">
        <f>SUM('Pt 1 Summary of Data'!I$37:I$41)+MAX(0,MIN('Pt 1 Summary of Data'!I$42,0.3%*('Pt 1 Summary of Data'!I$5-SUM(G$9:G$10))))</f>
        <v>0</v>
      </c>
      <c r="H7" s="115">
        <v>2345.33</v>
      </c>
      <c r="I7" s="116">
        <v>651.04</v>
      </c>
      <c r="J7" s="121">
        <f>SUM('Pt 1 Summary of Data'!K$37:K$41)+SUM('Pt 1 Summary of Data'!M$37:M$41)-SUM('Pt 1 Summary of Data'!N$37:N$41)+MAX(0,MIN('Pt 1 Summary of Data'!K$42+'Pt 1 Summary of Data'!M$42-'Pt 1 Summary of Data'!N$42,0.3%*('Pt 1 Summary of Data'!K$5+'Pt 1 Summary of Data'!M$5-'Pt 1 Summary of Data'!N$5-SUM(J$10:J$11))))</f>
        <v>2259.58</v>
      </c>
      <c r="K7" s="121">
        <f>SUM(H7:J7)</f>
        <v>5255.95</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2760.1500000000015</v>
      </c>
      <c r="F9" s="121">
        <f>SUM(C9:E9)</f>
        <v>2760.1500000000015</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24910.639999999999</v>
      </c>
      <c r="F10" s="121">
        <f>SUM(C10:E10)</f>
        <v>24910.639999999999</v>
      </c>
      <c r="G10" s="122">
        <f>'Pt 2 Premium and Claims'!I$16</f>
        <v>0</v>
      </c>
      <c r="H10" s="298"/>
      <c r="I10" s="294"/>
      <c r="J10" s="121">
        <f>'Pt 2 Premium and Claims'!K$16+'Pt 2 Premium and Claims'!M$16-'Pt 2 Premium and Claims'!N$16</f>
        <v>-3229.79</v>
      </c>
      <c r="K10" s="121">
        <f>SUM(H10:J10)</f>
        <v>-3229.79</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7944694.3499999987</v>
      </c>
      <c r="D12" s="121">
        <f>SUM(D$6:D$7)+IF(AND(OR('Company Information'!$C$12="District of Columbia",'Company Information'!$C$12="Massachusetts",'Company Information'!$C$12="Vermont"),SUM($C$6:$F$11,$C$15:$F$16,$C$37:$D$37)&lt;&gt;0),SUM(I$6:I$7),0)</f>
        <v>6145607.6924999999</v>
      </c>
      <c r="E12" s="121">
        <f>SUM(E$6:E$7)-SUM(E$8:E$11)+IF(AND(OR('Company Information'!$C$12="District of Columbia",'Company Information'!$C$12="Massachusetts",'Company Information'!$C$12="Vermont"),SUM($C$6:$F$11,$C$15:$F$16,$C$37:$D$37)&lt;&gt;0),SUM(J$6:J$7)-SUM(J$10:J$11),0)</f>
        <v>4025568.8205000008</v>
      </c>
      <c r="F12" s="121">
        <f>IFERROR(SUM(C$12:E$12)+C$17*MAX(0,E$49-C$49)+D$17*MAX(0,E$49-D$49),0)</f>
        <v>18115870.862999998</v>
      </c>
      <c r="G12" s="317"/>
      <c r="H12" s="120">
        <f>SUM(H$6:H$7)+IF(AND(OR('Company Information'!$C$12="District of Columbia",'Company Information'!$C$12="Massachusetts",'Company Information'!$C$12="Vermont"),SUM($H$6:$K$11,$H$15:$K$16,$H$37:$I$37)&lt;&gt;0),SUM(C$6:C$7),0)</f>
        <v>37213.929999999986</v>
      </c>
      <c r="I12" s="121">
        <f>SUM(I$6:I$7)+IF(AND(OR('Company Information'!$C$12="District of Columbia",'Company Information'!$C$12="Massachusetts",'Company Information'!$C$12="Vermont"),SUM($H$6:$K$11,$H$15:$K$16,$H$37:$I$37)&lt;&gt;0),SUM(D$6:D$7),0)</f>
        <v>37850.874199999991</v>
      </c>
      <c r="J12" s="121">
        <f>SUM(J$6:J$7)-SUM(J$10:J$11)+IF(AND(OR('Company Information'!$C$12="District of Columbia",'Company Information'!$C$12="Massachusetts",'Company Information'!$C$12="Vermont"),SUM($H$6:$K$11,$H$15:$K$16,$H$37:$I$37)&lt;&gt;0),SUM(E$6:E$7)-SUM(E$8:E$11),0)</f>
        <v>63138.26679999999</v>
      </c>
      <c r="K12" s="121">
        <f>IFERROR(SUM(H$12:J$12)+H$17*MAX(0,J$49-H$49)+I$17*MAX(0,J$49-I$49),0)</f>
        <v>138203.07099999997</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6940001.46</v>
      </c>
      <c r="D15" s="124">
        <v>5863095.1514957994</v>
      </c>
      <c r="E15" s="112">
        <f>SUM('Pt 1 Summary of Data'!E$5:E$7)+SUM('Pt 1 Summary of Data'!G$5:G$7)-SUM('Pt 1 Summary of Data'!H$5:H$7)-SUM(E$9:E$11)+D$55</f>
        <v>4009623.9785042</v>
      </c>
      <c r="F15" s="112">
        <f>SUM(C15:E15)</f>
        <v>16812720.59</v>
      </c>
      <c r="G15" s="113">
        <f>SUM('Pt 1 Summary of Data'!I$5:I$7)-SUM(G$9:G$10)</f>
        <v>0</v>
      </c>
      <c r="H15" s="123">
        <v>147416.82999999999</v>
      </c>
      <c r="I15" s="124">
        <v>86182.49</v>
      </c>
      <c r="J15" s="112">
        <f>SUM('Pt 1 Summary of Data'!K$5:K$7)+SUM('Pt 1 Summary of Data'!M$5:M$7)-SUM('Pt 1 Summary of Data'!N$5:N$7)-SUM(J$10:J$11)+I$55</f>
        <v>64853.320000000007</v>
      </c>
      <c r="K15" s="112">
        <f>SUM(H15:J15)</f>
        <v>298452.64</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-548007</v>
      </c>
      <c r="D16" s="116">
        <v>-321426.95730482292</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52635.25157482292</v>
      </c>
      <c r="F16" s="121">
        <f>SUM(C16:E16)</f>
        <v>-816798.70573000005</v>
      </c>
      <c r="G16" s="122">
        <f>SUM('Pt 1 Summary of Data'!I$25:I$28,'Pt 1 Summary of Data'!I$30,'Pt 1 Summary of Data'!I$34:I$35)+IF('Company Information'!$C$15="No",IF(MAX('Pt 1 Summary of Data'!I$31:I$32)=0,MIN('Pt 1 Summary of Data'!I$31:I$32),MAX('Pt 1 Summary of Data'!I$31:I$32)),SUM('Pt 1 Summary of Data'!I$31:I$32))</f>
        <v>0</v>
      </c>
      <c r="H16" s="115">
        <v>25518</v>
      </c>
      <c r="I16" s="116">
        <v>24145</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-7936.1842982999988</v>
      </c>
      <c r="K16" s="121">
        <f>SUM(H16:J16)</f>
        <v>41726.815701700005</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7488008.46</v>
      </c>
      <c r="D17" s="121">
        <f>D$15-D$16+IF(AND(OR('Company Information'!$C$12="District of Columbia",'Company Information'!$C$12="Massachusetts",'Company Information'!$C$12="Vermont"),SUM($C$6:$F$11,$C$15:$F$16,$C$37:$D$37)&lt;&gt;0),I$15-I$16,0)</f>
        <v>6184522.1088006226</v>
      </c>
      <c r="E17" s="121">
        <f>E$15-E$16+IF(AND(OR('Company Information'!$C$12="District of Columbia",'Company Information'!$C$12="Massachusetts",'Company Information'!$C$12="Vermont"),SUM($C$6:$F$11,$C$15:$F$16,$C$37:$D$37)&lt;&gt;0),J$15-J$16,0)</f>
        <v>3956988.7269293773</v>
      </c>
      <c r="F17" s="121">
        <f>F$15-F$16+IF(AND(OR('Company Information'!$C$12="District of Columbia",'Company Information'!$C$12="Massachusetts",'Company Information'!$C$12="Vermont"),SUM($C$6:$F$11,$C$15:$F$16,$C$37:$D$37)&lt;&gt;0),K$15-K$16,0)</f>
        <v>17629519.295729998</v>
      </c>
      <c r="G17" s="320"/>
      <c r="H17" s="120">
        <f>H$15-H$16+IF(AND(OR('Company Information'!$C$12="District of Columbia",'Company Information'!$C$12="Massachusetts",'Company Information'!$C$12="Vermont"),SUM($H$6:$K$11,$H$15:$K$16,$H$37:$I$37)&lt;&gt;0),C$15-C$16,0)</f>
        <v>121898.82999999999</v>
      </c>
      <c r="I17" s="121">
        <f>I$15-I$16+IF(AND(OR('Company Information'!$C$12="District of Columbia",'Company Information'!$C$12="Massachusetts",'Company Information'!$C$12="Vermont"),SUM($H$6:$K$11,$H$15:$K$16,$H$37:$I$37)&lt;&gt;0),D$15-D$16,0)</f>
        <v>62037.490000000005</v>
      </c>
      <c r="J17" s="121">
        <f>J$15-J$16+IF(AND(OR('Company Information'!$C$12="District of Columbia",'Company Information'!$C$12="Massachusetts",'Company Information'!$C$12="Vermont"),SUM($H$6:$K$11,$H$15:$K$16,$H$37:$I$37)&lt;&gt;0),E$15-E$16,0)</f>
        <v>72789.504298300002</v>
      </c>
      <c r="K17" s="121">
        <f>K$15-K$16+IF(AND(OR('Company Information'!$C$12="District of Columbia",'Company Information'!$C$12="Massachusetts",'Company Information'!$C$12="Vermont"),SUM($H$6:$K$11,$H$15:$K$16,$H$37:$I$37)&lt;&gt;0),F$15-F$16,0)</f>
        <v>256725.82429830002</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2708.75</v>
      </c>
      <c r="D37" s="128">
        <v>1988</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1213.8333333333333</v>
      </c>
      <c r="F37" s="262">
        <f>SUM(C$37:E$37)+IF(AND(OR('Company Information'!$C$12="District of Columbia",'Company Information'!$C$12="Massachusetts",'Company Information'!$C$12="Vermont"),SUM($C$6:$F$11,$C$15:$F$16,$C$37:$D$37)&lt;&gt;0,SUM(C$37:D$37)&lt;&gt;SUM(H$37:I$37)),SUM(H$37:I$37),0)</f>
        <v>5910.583333333333</v>
      </c>
      <c r="G37" s="318"/>
      <c r="H37" s="127">
        <v>19.833333333333332</v>
      </c>
      <c r="I37" s="128">
        <v>12</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9.0833333333333339</v>
      </c>
      <c r="K37" s="262">
        <f>SUM(H$37:J$37)+IF(AND(OR('Company Information'!$C$12="District of Columbia",'Company Information'!$C$12="Massachusetts",'Company Information'!$C$12="Vermont"),SUM($H$6:$K$11,$H$15:$K$16,$H$37:$I$37)&lt;&gt;0,SUM(H$37:I$37)&lt;&gt;SUM(C$37:D$37)),SUM(C$37:D$37),0)</f>
        <v>40.916666666666664</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3.4996716666666663E-2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5001.2539067195576</v>
      </c>
      <c r="G39" s="317"/>
      <c r="H39" s="298"/>
      <c r="I39" s="294"/>
      <c r="J39" s="294"/>
      <c r="K39" s="116">
        <v>2581.183611532625</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1.4020837609688663</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1.1717286798179058</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4.9068328125561805E-2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1.0609889655493256</v>
      </c>
      <c r="D44" s="266">
        <f>IF(OR(D$37&lt;1000,D$17&lt;=0),"",D$12/D$17)</f>
        <v>0.99370777311229153</v>
      </c>
      <c r="E44" s="266">
        <f>IF(OR(E$37&lt;1000,E$17&lt;=0),"",E$12/E$17)</f>
        <v>1.0173313846218213</v>
      </c>
      <c r="F44" s="266">
        <f>IF(OR(F$37&lt;1000,F$17&lt;=0),"",F$12/F$17)</f>
        <v>1.0275873413852978</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4.9068328125561805E-2</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1.077</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2057</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1.077</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3956988.7269293773</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48208.358504199954</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-2636.0426951770937</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646</v>
      </c>
      <c r="D4" s="155">
        <f>'Pt 1 Summary of Data'!$K$56+'Pt 1 Summary of Data'!$M$56-'Pt 1 Summary of Data'!$N$56</f>
        <v>3</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