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K51" i="10"/>
  <c r="F51" i="10"/>
  <c r="AB50" i="10"/>
  <c r="AB47" i="10"/>
  <c r="AB46" i="10"/>
  <c r="AB45" i="10"/>
  <c r="AA45" i="10"/>
  <c r="Z45" i="10"/>
  <c r="Y45" i="10"/>
  <c r="X45" i="10"/>
  <c r="X46" i="10" s="1"/>
  <c r="W45" i="10"/>
  <c r="V45" i="10"/>
  <c r="U45" i="10"/>
  <c r="T45" i="10"/>
  <c r="T47" i="10" s="1"/>
  <c r="T50" i="10" s="1"/>
  <c r="S45" i="10"/>
  <c r="R45" i="10"/>
  <c r="Q45" i="10"/>
  <c r="P44" i="10"/>
  <c r="O44" i="10"/>
  <c r="N44" i="10"/>
  <c r="M44" i="10"/>
  <c r="K44" i="10"/>
  <c r="J44" i="10"/>
  <c r="K38" i="10" s="1"/>
  <c r="I44" i="10"/>
  <c r="H44" i="10"/>
  <c r="F44" i="10"/>
  <c r="E44" i="10"/>
  <c r="D44" i="10"/>
  <c r="F38" i="10" s="1"/>
  <c r="C44" i="10"/>
  <c r="AB41" i="10"/>
  <c r="X41" i="10"/>
  <c r="T41" i="10"/>
  <c r="AB40" i="10"/>
  <c r="X40" i="10"/>
  <c r="T40" i="10"/>
  <c r="P40" i="10"/>
  <c r="K40" i="10"/>
  <c r="F40" i="10"/>
  <c r="AB38" i="10"/>
  <c r="X38" i="10"/>
  <c r="T38" i="10"/>
  <c r="P38" i="10"/>
  <c r="AB37" i="10"/>
  <c r="AA37" i="10"/>
  <c r="X37" i="10"/>
  <c r="W37" i="10"/>
  <c r="T37" i="10"/>
  <c r="S37" i="10"/>
  <c r="P37" i="10"/>
  <c r="O37" i="10"/>
  <c r="K37" i="10"/>
  <c r="J37" i="10"/>
  <c r="F37" i="10"/>
  <c r="E37" i="10"/>
  <c r="L29" i="10"/>
  <c r="L28" i="10"/>
  <c r="G28" i="10"/>
  <c r="L25" i="10"/>
  <c r="L24" i="10"/>
  <c r="L21" i="10"/>
  <c r="L20" i="10"/>
  <c r="L19" i="10"/>
  <c r="AB17" i="10"/>
  <c r="AA17" i="10"/>
  <c r="Z17" i="10"/>
  <c r="Y17" i="10"/>
  <c r="X17" i="10"/>
  <c r="W17" i="10"/>
  <c r="V17" i="10"/>
  <c r="U17" i="10"/>
  <c r="T17" i="10"/>
  <c r="S17" i="10"/>
  <c r="R17" i="10"/>
  <c r="Q17" i="10"/>
  <c r="T13" i="10" s="1"/>
  <c r="P17" i="10"/>
  <c r="O17" i="10"/>
  <c r="N17" i="10"/>
  <c r="M17" i="10"/>
  <c r="K17" i="10"/>
  <c r="J17" i="10"/>
  <c r="I17" i="10"/>
  <c r="H17" i="10"/>
  <c r="F17" i="10"/>
  <c r="E17" i="10"/>
  <c r="D17" i="10"/>
  <c r="C17" i="10"/>
  <c r="AB16" i="10"/>
  <c r="AA16" i="10"/>
  <c r="X16" i="10"/>
  <c r="X13" i="10" s="1"/>
  <c r="W16" i="10"/>
  <c r="V13" i="10" s="1"/>
  <c r="T16" i="10"/>
  <c r="S16" i="10"/>
  <c r="P16" i="10"/>
  <c r="O16" i="10"/>
  <c r="L16" i="10"/>
  <c r="K16" i="10"/>
  <c r="J16" i="10"/>
  <c r="G16" i="10"/>
  <c r="F16" i="10"/>
  <c r="E16" i="10"/>
  <c r="E12" i="10" s="1"/>
  <c r="AB15" i="10"/>
  <c r="AA15" i="10"/>
  <c r="X15" i="10"/>
  <c r="W15" i="10"/>
  <c r="W13" i="10" s="1"/>
  <c r="T15" i="10"/>
  <c r="S15" i="10"/>
  <c r="Q13" i="10" s="1"/>
  <c r="P15" i="10"/>
  <c r="O15" i="10"/>
  <c r="L15" i="10"/>
  <c r="K15" i="10"/>
  <c r="J15" i="10"/>
  <c r="G15" i="10"/>
  <c r="F15" i="10"/>
  <c r="E15" i="10"/>
  <c r="C12" i="10" s="1"/>
  <c r="AB13" i="10"/>
  <c r="AA13" i="10"/>
  <c r="Z13" i="10"/>
  <c r="Y13" i="10"/>
  <c r="U13" i="10"/>
  <c r="S13" i="10"/>
  <c r="R13" i="10"/>
  <c r="P12" i="10"/>
  <c r="O12" i="10"/>
  <c r="N12" i="10"/>
  <c r="M12" i="10"/>
  <c r="J12" i="10"/>
  <c r="I12" i="10"/>
  <c r="H12" i="10"/>
  <c r="D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0" i="10" s="1"/>
  <c r="AB6" i="10"/>
  <c r="AA6" i="10"/>
  <c r="X6" i="10"/>
  <c r="W6" i="10"/>
  <c r="T6" i="10"/>
  <c r="S6" i="10"/>
  <c r="P6" i="10"/>
  <c r="O6" i="10"/>
  <c r="L6" i="10"/>
  <c r="K6" i="10"/>
  <c r="J6" i="10"/>
  <c r="G6" i="10"/>
  <c r="F6" i="10"/>
  <c r="E6" i="10"/>
  <c r="AU55" i="18"/>
  <c r="AT55" i="18"/>
  <c r="AS55" i="18"/>
  <c r="AS22" i="4" s="1"/>
  <c r="AC55" i="18"/>
  <c r="AB55" i="18"/>
  <c r="AB22" i="4" s="1"/>
  <c r="AA55" i="18"/>
  <c r="AA22" i="4" s="1"/>
  <c r="Z55" i="18"/>
  <c r="Z22" i="4" s="1"/>
  <c r="Y55" i="18"/>
  <c r="Y22" i="4" s="1"/>
  <c r="X55" i="18"/>
  <c r="W55" i="18"/>
  <c r="W22" i="4" s="1"/>
  <c r="V55" i="18"/>
  <c r="U55" i="18"/>
  <c r="T55" i="18"/>
  <c r="T22" i="4" s="1"/>
  <c r="S55" i="18"/>
  <c r="S22" i="4" s="1"/>
  <c r="R55" i="18"/>
  <c r="R22" i="4" s="1"/>
  <c r="Q55" i="18"/>
  <c r="Q22" i="4" s="1"/>
  <c r="P55" i="18"/>
  <c r="P22" i="4" s="1"/>
  <c r="O55" i="18"/>
  <c r="O22" i="4" s="1"/>
  <c r="N55" i="18"/>
  <c r="N22" i="4" s="1"/>
  <c r="M55" i="18"/>
  <c r="L55" i="18"/>
  <c r="K55" i="18"/>
  <c r="K22" i="4" s="1"/>
  <c r="J55" i="18"/>
  <c r="I55" i="18"/>
  <c r="I22" i="4" s="1"/>
  <c r="H55" i="18"/>
  <c r="H22" i="4" s="1"/>
  <c r="G55" i="18"/>
  <c r="G22" i="4" s="1"/>
  <c r="F55" i="18"/>
  <c r="F22" i="4" s="1"/>
  <c r="E55" i="18"/>
  <c r="D55" i="18"/>
  <c r="AU54" i="18"/>
  <c r="AU12" i="4" s="1"/>
  <c r="AT54" i="18"/>
  <c r="AT12" i="4" s="1"/>
  <c r="AS54" i="18"/>
  <c r="AC54" i="18"/>
  <c r="AB54" i="18"/>
  <c r="AA54" i="18"/>
  <c r="AA12" i="4" s="1"/>
  <c r="Z54" i="18"/>
  <c r="Z12" i="4" s="1"/>
  <c r="Y54" i="18"/>
  <c r="X54" i="18"/>
  <c r="W54" i="18"/>
  <c r="V54" i="18"/>
  <c r="U54" i="18"/>
  <c r="U12" i="4" s="1"/>
  <c r="T54" i="18"/>
  <c r="T12" i="4" s="1"/>
  <c r="S54" i="18"/>
  <c r="S12" i="4" s="1"/>
  <c r="R54" i="18"/>
  <c r="Q54" i="18"/>
  <c r="Q12" i="4" s="1"/>
  <c r="P54" i="18"/>
  <c r="P12" i="4" s="1"/>
  <c r="O54" i="18"/>
  <c r="N54" i="18"/>
  <c r="N12" i="4" s="1"/>
  <c r="M54" i="18"/>
  <c r="L54" i="18"/>
  <c r="K54" i="18"/>
  <c r="K12" i="4" s="1"/>
  <c r="J54" i="18"/>
  <c r="I54" i="18"/>
  <c r="I12" i="4" s="1"/>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X22" i="4"/>
  <c r="V22" i="4"/>
  <c r="U22" i="4"/>
  <c r="M22" i="4"/>
  <c r="L22" i="4"/>
  <c r="J22" i="4"/>
  <c r="E22" i="4"/>
  <c r="D22" i="4"/>
  <c r="AS12" i="4"/>
  <c r="AC12" i="4"/>
  <c r="AB12" i="4"/>
  <c r="Y12" i="4"/>
  <c r="X12" i="4"/>
  <c r="W12" i="4"/>
  <c r="V12" i="4"/>
  <c r="R12" i="4"/>
  <c r="O12" i="4"/>
  <c r="M12" i="4"/>
  <c r="L12" i="4"/>
  <c r="J12" i="4"/>
  <c r="G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25" i="10" l="1"/>
  <c r="G29" i="10"/>
  <c r="G19" i="10"/>
  <c r="G24" i="10" s="1"/>
  <c r="G23" i="10" s="1"/>
  <c r="G27" i="10" s="1"/>
  <c r="L23" i="10"/>
  <c r="L27" i="10" s="1"/>
  <c r="X47" i="10"/>
  <c r="X50" i="10" s="1"/>
  <c r="T46" i="10"/>
  <c r="P41" i="10"/>
  <c r="P46" i="10" s="1"/>
  <c r="P47" i="10" s="1"/>
  <c r="P50" i="10" s="1"/>
  <c r="P52" i="10" s="1"/>
  <c r="E11" i="16" s="1"/>
  <c r="K41" i="10"/>
  <c r="K46" i="10" s="1"/>
  <c r="K47" i="10" s="1"/>
  <c r="K50" i="10" s="1"/>
  <c r="K52" i="10" s="1"/>
  <c r="D11" i="16" s="1"/>
  <c r="F41" i="10"/>
  <c r="F46" i="10" s="1"/>
  <c r="F47" i="10" s="1"/>
  <c r="F50" i="10" s="1"/>
  <c r="F52" i="10" s="1"/>
  <c r="C11" i="16" s="1"/>
  <c r="K12" i="10"/>
  <c r="F12" i="10"/>
  <c r="G26" i="10" l="1"/>
  <c r="G30" i="10" s="1"/>
  <c r="G31" i="10"/>
  <c r="G32" i="10" s="1"/>
  <c r="G33" i="10" s="1"/>
  <c r="L31" i="10"/>
  <c r="L32" i="10" s="1"/>
  <c r="L33" i="10" s="1"/>
  <c r="L26" i="10"/>
  <c r="L30" i="10" s="1"/>
  <c r="G21"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<sst xmlns="http://schemas.openxmlformats.org/spreadsheetml/2006/main" count="569" uniqueCount="508">
  <si>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</si>
  <si>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</si>
  <si>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</si>
  <si>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</si>
  <si>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</si>
  <si>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</si>
  <si>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</si>
  <si>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</si>
  <si>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</si>
  <si>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</si>
  <si>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</si>
  <si>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</si>
  <si>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</si>
  <si>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</si>
  <si>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</si>
  <si>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</si>
  <si>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</si>
  <si>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</si>
  <si>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</si>
  <si>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</si>
  <si>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</si>
  <si>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</si>
  <si>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</si>
  <si>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</si>
  <si>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</si>
  <si>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</si>
  <si>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</si>
  <si>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</si>
  <si>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</si>
  <si>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</si>
  <si>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</si>
  <si>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</si>
  <si>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</si>
  <si>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</si>
  <si>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</si>
  <si>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</si>
  <si>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</si>
  <si>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</si>
  <si>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</si>
  <si>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</si>
  <si>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</si>
  <si>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</si>
  <si>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</si>
  <si>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</si>
  <si>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</si>
  <si>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</si>
  <si>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</si>
  <si>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</si>
  <si>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</si>
  <si>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</si>
  <si>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</si>
  <si>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</si>
  <si>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</si>
  <si>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</si>
  <si>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</si>
  <si>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</si>
  <si>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</si>
  <si>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</si>
  <si>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</si>
  <si>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</si>
  <si>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</si>
  <si>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</si>
  <si>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</si>
  <si>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</si>
  <si>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</si>
  <si>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</si>
  <si>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</si>
  <si>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</si>
  <si>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</si>
  <si>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</si>
  <si>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</si>
  <si>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</si>
  <si>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</si>
  <si>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</si>
  <si>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</si>
  <si>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</si>
  <si>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</si>
  <si>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</si>
  <si>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</si>
  <si>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</si>
  <si>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</si>
  <si>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</si>
  <si>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</si>
  <si>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</si>
  <si>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</si>
  <si>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</si>
  <si>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</si>
  <si>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</si>
  <si>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</si>
  <si>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</si>
  <si>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</si>
  <si>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</si>
  <si>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</si>
  <si>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</si>
  <si>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</si>
  <si>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</si>
  <si>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</si>
  <si>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</si>
  <si>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</si>
  <si>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</si>
  <si>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</si>
  <si>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</si>
  <si>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</si>
  <si>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</si>
  <si>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</si>
  <si>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</si>
  <si>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</si>
  <si>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</si>
  <si>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</si>
  <si>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</si>
  <si>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</si>
  <si>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</si>
  <si>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</si>
  <si>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</si>
  <si>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</si>
  <si>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</si>
  <si>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</si>
  <si>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</si>
  <si>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</si>
  <si>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</si>
  <si>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</si>
  <si>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</si>
  <si>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</si>
  <si>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</si>
  <si>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</si>
  <si>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</si>
  <si>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</si>
  <si>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</si>
  <si>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</si>
  <si>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</si>
  <si>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</si>
  <si>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</si>
  <si>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</si>
  <si>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</si>
  <si>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</si>
  <si>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</si>
  <si>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</si>
  <si>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</si>
  <si>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</si>
  <si>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</si>
  <si>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</si>
  <si>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</si>
  <si>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</si>
  <si>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</si>
  <si>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</si>
  <si>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</si>
  <si>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</si>
  <si>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</si>
  <si>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</si>
  <si>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</si>
  <si>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</si>
  <si>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</si>
  <si>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</si>
  <si>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</si>
  <si>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</si>
  <si>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</si>
  <si>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</si>
  <si>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</si>
  <si>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</si>
  <si>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</si>
  <si>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</si>
  <si>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</si>
  <si>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</si>
  <si>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</si>
  <si>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</si>
  <si>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</si>
  <si>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</si>
  <si>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</si>
  <si>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</si>
  <si>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</si>
  <si>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</si>
  <si>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</si>
  <si>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</si>
  <si>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</si>
  <si>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</si>
  <si>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</si>
  <si>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</si>
  <si>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</si>
  <si>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</si>
  <si>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</si>
  <si>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</si>
  <si>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</si>
  <si>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</si>
  <si>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</si>
  <si>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</si>
  <si>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</si>
  <si>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</si>
  <si>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</si>
  <si>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</si>
  <si>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</si>
  <si>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</si>
  <si>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</si>
  <si>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</si>
  <si>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</si>
  <si>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</si>
  <si>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</si>
  <si>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</si>
  <si>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</si>
  <si>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</si>
  <si>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</si>
  <si>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</si>
  <si>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</si>
  <si>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</si>
  <si>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</si>
  <si>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</si>
  <si>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</si>
  <si>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</si>
  <si>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</si>
  <si>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</si>
  <si>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</si>
  <si>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</si>
  <si>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</si>
  <si>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</si>
  <si>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</si>
  <si>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</si>
  <si>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</si>
  <si>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</si>
  <si>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</si>
  <si>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</si>
  <si>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</si>
  <si>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</si>
  <si>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</si>
  <si>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</si>
  <si>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</si>
  <si>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</si>
  <si>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</si>
  <si>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</si>
  <si>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</si>
  <si>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</si>
  <si>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</si>
  <si>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</si>
  <si>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</si>
  <si>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</si>
  <si>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</si>
  <si>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</si>
  <si>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</si>
  <si>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</si>
  <si>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</si>
  <si>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</si>
  <si>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</si>
  <si>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</si>
  <si>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</si>
  <si>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</si>
  <si>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</si>
  <si>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</si>
  <si>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</si>
  <si>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</si>
  <si>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</si>
  <si>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</si>
  <si>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</si>
  <si>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</si>
  <si>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</si>
  <si>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</si>
  <si>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</si>
  <si>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</si>
  <si>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</si>
  <si>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</si>
  <si>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</si>
  <si>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</si>
  <si>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</si>
  <si>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</si>
  <si>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</si>
  <si>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</si>
  <si>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</si>
  <si>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</si>
  <si>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</si>
  <si>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</si>
  <si>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</si>
  <si>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</si>
  <si>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</si>
  <si>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</si>
  <si>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</si>
  <si>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</si>
  <si>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</si>
  <si>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</si>
  <si>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</si>
  <si>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</si>
  <si>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</si>
  <si>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</si>
  <si>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</si>
  <si>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</si>
  <si>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</si>
  <si>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</si>
  <si>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</si>
  <si>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</si>
  <si>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</si>
  <si>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</si>
  <si>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</si>
  <si>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</si>
  <si>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</si>
  <si>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</si>
  <si>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</si>
  <si>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</si>
  <si>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</si>
  <si>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</si>
  <si>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</si>
  <si>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</si>
  <si>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</si>
  <si>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</si>
  <si>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</si>
  <si>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</si>
  <si>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</si>
  <si>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</si>
  <si>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</si>
  <si>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</si>
  <si>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</si>
  <si>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</si>
  <si>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</si>
  <si>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</si>
  <si>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</si>
  <si>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</si>
  <si>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</si>
  <si>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</si>
  <si>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</si>
  <si>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</si>
  <si>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</si>
  <si>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</si>
  <si>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</si>
  <si>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</si>
  <si>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</si>
  <si>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</si>
  <si>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</si>
  <si>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</si>
  <si>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</si>
  <si>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</si>
  <si>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</si>
  <si>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</si>
  <si>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</si>
  <si>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</si>
  <si>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</si>
  <si>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</si>
  <si>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</si>
  <si>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</si>
  <si>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</si>
  <si>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</si>
  <si>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</si>
  <si>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</si>
  <si>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</si>
  <si>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</si>
  <si>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</si>
  <si>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</si>
  <si>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</si>
  <si>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</si>
  <si>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</si>
  <si>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</si>
  <si>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</si>
  <si>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</si>
  <si>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</si>
  <si>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</si>
  <si>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</si>
  <si>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</si>
  <si>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</si>
  <si>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</si>
  <si>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</si>
  <si>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</si>
  <si>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</si>
  <si>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</si>
  <si>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</si>
  <si>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</si>
  <si>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</si>
  <si>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</si>
  <si>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</si>
  <si>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</si>
  <si>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</si>
  <si>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</si>
  <si>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</si>
  <si>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</si>
  <si>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</si>
  <si>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</si>
  <si>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</si>
  <si>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</si>
  <si>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</si>
  <si>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</si>
  <si>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</si>
  <si>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</si>
  <si>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</si>
  <si>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</si>
  <si>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</si>
  <si>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</si>
  <si>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</si>
  <si>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</si>
  <si>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</si>
  <si>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</si>
  <si>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</si>
  <si>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</si>
  <si>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</si>
  <si>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</si>
  <si>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</si>
  <si>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</si>
  <si>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</si>
  <si>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</si>
  <si>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</si>
  <si>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</si>
  <si>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</si>
  <si>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</si>
  <si>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</si>
  <si>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</si>
  <si>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</si>
  <si>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</si>
  <si>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</si>
  <si>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</si>
  <si>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</si>
  <si>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</si>
  <si>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</si>
  <si>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</si>
  <si>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</si>
  <si>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</si>
  <si>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</si>
  <si>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</si>
  <si>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</si>
  <si>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</si>
  <si>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</si>
  <si>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</si>
  <si>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</si>
  <si>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</si>
  <si>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</si>
  <si>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</si>
  <si>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</si>
  <si>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</si>
  <si>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</si>
  <si>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</si>
  <si>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</si>
  <si>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</si>
  <si>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</si>
  <si>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</si>
  <si>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</si>
  <si>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</si>
  <si>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</si>
  <si>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</si>
  <si>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</si>
  <si>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</si>
  <si>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</si>
  <si>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</si>
  <si>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</si>
  <si>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</si>
  <si>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</si>
  <si>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</si>
  <si>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</si>
  <si>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</si>
  <si>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</si>
  <si>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</si>
  <si>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</si>
  <si>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</si>
  <si>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</si>
  <si>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</si>
  <si>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</si>
  <si>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</si>
  <si>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</si>
  <si>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</si>
  <si>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</si>
  <si>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</si>
  <si>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</si>
  <si>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</si>
  <si>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</si>
  <si>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</si>
  <si>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</si>
  <si>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</si>
  <si>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</si>
  <si>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</si>
  <si>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</si>
  <si>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</si>
  <si>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</si>
  <si>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</si>
  <si>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</si>
  <si>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</si>
  <si>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</si>
  <si>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</si>
  <si>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</si>
  <si>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</si>
  <si>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</si>
  <si>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</si>
  <si>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</si>
  <si>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</si>
  <si>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</si>
  <si>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</si>
  <si>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</si>
  <si>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</si>
  <si>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</si>
  <si>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</si>
  <si>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</si>
  <si>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</si>
  <si>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</si>
  <si>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</si>
  <si>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</si>
  <si>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</si>
  <si>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</si>
  <si>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</si>
  <si>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</si>
  <si>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</si>
  <si>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</si>
  <si>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</si>
  <si>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</si>
  <si>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</si>
  <si>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</si>
  <si>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</si>
  <si>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</si>
  <si>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</si>
  <si>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</si>
  <si>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</si>
  <si>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</si>
  <si>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</si>
  <si>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</si>
  <si>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</si>
  <si>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82120</t>
  </si>
  <si>
    <t>219</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</si>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</sst>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185</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74011899</v>
      </c>
      <c r="E5" s="112">
        <f>SUM('Pt 2 Premium and Claims'!E$5,'Pt 2 Premium and Claims'!E$6,-'Pt 2 Premium and Claims'!E$7,-'Pt 2 Premium and Claims'!E$13,'Pt 2 Premium and Claims'!E$14:'Pt 2 Premium and Claims'!E$17)</f>
        <v>79615526.746122703</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40383174</v>
      </c>
      <c r="J5" s="111">
        <f>SUM('Pt 2 Premium and Claims'!J$5,'Pt 2 Premium and Claims'!J$6,-'Pt 2 Premium and Claims'!J$7,-'Pt 2 Premium and Claims'!J$13,'Pt 2 Premium and Claims'!J$14,'Pt 2 Premium and Claims'!J$16:'Pt 2 Premium and Claims'!J$17)</f>
        <v>98180686</v>
      </c>
      <c r="K5" s="112">
        <f>SUM('Pt 2 Premium and Claims'!K$5,'Pt 2 Premium and Claims'!K$6,-'Pt 2 Premium and Claims'!K$7,-'Pt 2 Premium and Claims'!K$13,'Pt 2 Premium and Claims'!K$14,'Pt 2 Premium and Claims'!K$16:'Pt 2 Premium and Claims'!K$17)</f>
        <v>88565553.436875984</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28591495</v>
      </c>
      <c r="Q5" s="112">
        <f>SUM('Pt 2 Premium and Claims'!Q$5,'Pt 2 Premium and Claims'!Q$6,-'Pt 2 Premium and Claims'!Q$7,-'Pt 2 Premium and Claims'!Q$13,'Pt 2 Premium and Claims'!Q$14)</f>
        <v>24175641.720059</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254284937</v>
      </c>
      <c r="AT5" s="113">
        <f>SUM('Pt 2 Premium and Claims'!AT$5,'Pt 2 Premium and Claims'!AT$6,-'Pt 2 Premium and Claims'!AT$7,-'Pt 2 Premium and Claims'!AT$13,'Pt 2 Premium and Claims'!AT$14)</f>
        <v>13109531</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-71220</v>
      </c>
      <c r="E7" s="116">
        <v>-71220</v>
      </c>
      <c r="F7" s="116"/>
      <c r="G7" s="116"/>
      <c r="H7" s="116"/>
      <c r="I7" s="115"/>
      <c r="J7" s="115">
        <v>-138871</v>
      </c>
      <c r="K7" s="116">
        <v>-128665.52667993095</v>
      </c>
      <c r="L7" s="116"/>
      <c r="M7" s="116"/>
      <c r="N7" s="116"/>
      <c r="O7" s="115"/>
      <c r="P7" s="115">
        <v>-64397.000000000007</v>
      </c>
      <c r="Q7" s="116">
        <v>-52811.671534256522</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-8722</v>
      </c>
      <c r="AU7" s="119"/>
      <c r="AV7" s="317"/>
      <c r="AW7" s="324"/>
    </row>
    <row r="8" spans="1:49" ht="25.5" x14ac:dyDescent="0.2">
      <c r="B8" s="161" t="s">
        <v>225</v>
      </c>
      <c r="C8" s="68" t="s">
        <v>59</v>
      </c>
      <c r="D8" s="115">
        <v>-573264</v>
      </c>
      <c r="E8" s="295"/>
      <c r="F8" s="296"/>
      <c r="G8" s="296"/>
      <c r="H8" s="296"/>
      <c r="I8" s="299"/>
      <c r="J8" s="115">
        <v>-173978</v>
      </c>
      <c r="K8" s="295"/>
      <c r="L8" s="296"/>
      <c r="M8" s="296"/>
      <c r="N8" s="296"/>
      <c r="O8" s="299"/>
      <c r="P8" s="115">
        <v>-45695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-4860684</v>
      </c>
      <c r="AT8" s="119">
        <v>-593420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64009552</v>
      </c>
      <c r="E12" s="112">
        <f>'Pt 2 Premium and Claims'!E$54</f>
        <v>69602919.005000025</v>
      </c>
      <c r="F12" s="112">
        <f>'Pt 2 Premium and Claims'!F$54</f>
        <v>0</v>
      </c>
      <c r="G12" s="112">
        <f>'Pt 2 Premium and Claims'!G$54</f>
        <v>0</v>
      </c>
      <c r="H12" s="112">
        <f>'Pt 2 Premium and Claims'!H$54</f>
        <v>0</v>
      </c>
      <c r="I12" s="111">
        <f>'Pt 2 Premium and Claims'!I$54</f>
        <v>45983651</v>
      </c>
      <c r="J12" s="111">
        <f>'Pt 2 Premium and Claims'!J$54</f>
        <v>71048447</v>
      </c>
      <c r="K12" s="112">
        <f>'Pt 2 Premium and Claims'!K$54</f>
        <v>68190707.227282956</v>
      </c>
      <c r="L12" s="112">
        <f>'Pt 2 Premium and Claims'!L$54</f>
        <v>0</v>
      </c>
      <c r="M12" s="112">
        <f>'Pt 2 Premium and Claims'!M$54</f>
        <v>0</v>
      </c>
      <c r="N12" s="112">
        <f>'Pt 2 Premium and Claims'!N$54</f>
        <v>0</v>
      </c>
      <c r="O12" s="111">
        <f>'Pt 2 Premium and Claims'!O$54</f>
        <v>0</v>
      </c>
      <c r="P12" s="111">
        <f>'Pt 2 Premium and Claims'!P$54</f>
        <v>22236761</v>
      </c>
      <c r="Q12" s="112">
        <f>'Pt 2 Premium and Claims'!Q$54</f>
        <v>20760119.451017048</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207656762</v>
      </c>
      <c r="AT12" s="113">
        <f>'Pt 2 Premium and Claims'!AT$54</f>
        <v>7176004</v>
      </c>
      <c r="AU12" s="113">
        <f>'Pt 2 Premium and Claims'!AU$54</f>
        <v>0</v>
      </c>
      <c r="AV12" s="318"/>
      <c r="AW12" s="323"/>
    </row>
    <row r="13" spans="1:49" ht="25.5" x14ac:dyDescent="0.2">
      <c r="B13" s="161" t="s">
        <v>230</v>
      </c>
      <c r="C13" s="68" t="s">
        <v>37</v>
      </c>
      <c r="D13" s="115">
        <v>8356419</v>
      </c>
      <c r="E13" s="116">
        <v>9021737.8900000006</v>
      </c>
      <c r="F13" s="116"/>
      <c r="G13" s="295"/>
      <c r="H13" s="296"/>
      <c r="I13" s="115">
        <v>6150749</v>
      </c>
      <c r="J13" s="115">
        <v>15577401</v>
      </c>
      <c r="K13" s="116">
        <v>15558381.297995519</v>
      </c>
      <c r="L13" s="116"/>
      <c r="M13" s="295"/>
      <c r="N13" s="296"/>
      <c r="O13" s="115"/>
      <c r="P13" s="115">
        <v>3468528</v>
      </c>
      <c r="Q13" s="116">
        <v>3547680.1920044823</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97249492</v>
      </c>
      <c r="AT13" s="119">
        <v>295</v>
      </c>
      <c r="AU13" s="119"/>
      <c r="AV13" s="317"/>
      <c r="AW13" s="324"/>
    </row>
    <row r="14" spans="1:49" ht="25.5" x14ac:dyDescent="0.2">
      <c r="B14" s="161" t="s">
        <v>231</v>
      </c>
      <c r="C14" s="68" t="s">
        <v>6</v>
      </c>
      <c r="D14" s="115">
        <v>594423</v>
      </c>
      <c r="E14" s="116">
        <v>609003.92000000004</v>
      </c>
      <c r="F14" s="116"/>
      <c r="G14" s="294"/>
      <c r="H14" s="297"/>
      <c r="I14" s="115">
        <v>324488</v>
      </c>
      <c r="J14" s="115">
        <v>1734324</v>
      </c>
      <c r="K14" s="116">
        <v>1717938.2451524264</v>
      </c>
      <c r="L14" s="116"/>
      <c r="M14" s="294"/>
      <c r="N14" s="297"/>
      <c r="O14" s="115"/>
      <c r="P14" s="115">
        <v>301286</v>
      </c>
      <c r="Q14" s="116">
        <v>301528.34484757262</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28065020</v>
      </c>
      <c r="AT14" s="119">
        <v>321</v>
      </c>
      <c r="AU14" s="119"/>
      <c r="AV14" s="317"/>
      <c r="AW14" s="324"/>
    </row>
    <row r="15" spans="1:49" ht="38.25" x14ac:dyDescent="0.2">
      <c r="B15" s="161" t="s">
        <v>232</v>
      </c>
      <c r="C15" s="68" t="s">
        <v>7</v>
      </c>
      <c r="D15" s="115">
        <v>3092</v>
      </c>
      <c r="E15" s="116">
        <v>3092</v>
      </c>
      <c r="F15" s="116"/>
      <c r="G15" s="294"/>
      <c r="H15" s="300"/>
      <c r="I15" s="115">
        <v>2097</v>
      </c>
      <c r="J15" s="115">
        <v>3688</v>
      </c>
      <c r="K15" s="116">
        <v>3688</v>
      </c>
      <c r="L15" s="116"/>
      <c r="M15" s="294"/>
      <c r="N15" s="300"/>
      <c r="O15" s="115"/>
      <c r="P15" s="115">
        <v>900</v>
      </c>
      <c r="Q15" s="116">
        <v>900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8518</v>
      </c>
      <c r="AT15" s="119">
        <v>405</v>
      </c>
      <c r="AU15" s="119"/>
      <c r="AV15" s="317"/>
      <c r="AW15" s="324"/>
    </row>
    <row r="16" spans="1:49" ht="25.5" x14ac:dyDescent="0.2">
      <c r="B16" s="161" t="s">
        <v>233</v>
      </c>
      <c r="C16" s="68" t="s">
        <v>61</v>
      </c>
      <c r="D16" s="115">
        <v>-9153219</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-2602454</v>
      </c>
      <c r="AT16" s="119">
        <v>-426346</v>
      </c>
      <c r="AU16" s="119"/>
      <c r="AV16" s="317"/>
      <c r="AW16" s="324"/>
    </row>
    <row r="17" spans="1:49" x14ac:dyDescent="0.2">
      <c r="B17" s="161" t="s">
        <v>234</v>
      </c>
      <c r="C17" s="68" t="s">
        <v>62</v>
      </c>
      <c r="D17" s="115">
        <v>438075</v>
      </c>
      <c r="E17" s="294"/>
      <c r="F17" s="297"/>
      <c r="G17" s="297"/>
      <c r="H17" s="297"/>
      <c r="I17" s="298"/>
      <c r="J17" s="115">
        <v>760476</v>
      </c>
      <c r="K17" s="294"/>
      <c r="L17" s="297"/>
      <c r="M17" s="297"/>
      <c r="N17" s="297"/>
      <c r="O17" s="298"/>
      <c r="P17" s="115">
        <v>311329</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-294296</v>
      </c>
      <c r="AU17" s="119"/>
      <c r="AV17" s="317"/>
      <c r="AW17" s="324"/>
    </row>
    <row r="18" spans="1:49" x14ac:dyDescent="0.2">
      <c r="B18" s="161" t="s">
        <v>235</v>
      </c>
      <c r="C18" s="68" t="s">
        <v>63</v>
      </c>
      <c r="D18" s="115">
        <v>251584</v>
      </c>
      <c r="E18" s="294"/>
      <c r="F18" s="297"/>
      <c r="G18" s="297"/>
      <c r="H18" s="300"/>
      <c r="I18" s="298"/>
      <c r="J18" s="115">
        <v>1937745</v>
      </c>
      <c r="K18" s="294"/>
      <c r="L18" s="297"/>
      <c r="M18" s="297"/>
      <c r="N18" s="300"/>
      <c r="O18" s="298"/>
      <c r="P18" s="115">
        <v>9633</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1499537</v>
      </c>
      <c r="E19" s="294"/>
      <c r="F19" s="297"/>
      <c r="G19" s="297"/>
      <c r="H19" s="297"/>
      <c r="I19" s="298"/>
      <c r="J19" s="115">
        <v>4051286</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809878</v>
      </c>
      <c r="E20" s="294"/>
      <c r="F20" s="297"/>
      <c r="G20" s="297"/>
      <c r="H20" s="297"/>
      <c r="I20" s="298"/>
      <c r="J20" s="115">
        <v>1353066</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71523</v>
      </c>
      <c r="E22" s="121">
        <f>'Pt 2 Premium and Claims'!E$55</f>
        <v>71523</v>
      </c>
      <c r="F22" s="121">
        <f>'Pt 2 Premium and Claims'!F$55</f>
        <v>0</v>
      </c>
      <c r="G22" s="121">
        <f>'Pt 2 Premium and Claims'!G$55</f>
        <v>0</v>
      </c>
      <c r="H22" s="121">
        <f>'Pt 2 Premium and Claims'!H$55</f>
        <v>0</v>
      </c>
      <c r="I22" s="120">
        <f>'Pt 2 Premium and Claims'!I$55</f>
        <v>12731</v>
      </c>
      <c r="J22" s="120">
        <f>'Pt 2 Premium and Claims'!J$55</f>
        <v>127884</v>
      </c>
      <c r="K22" s="121">
        <f>'Pt 2 Premium and Claims'!K$55</f>
        <v>123585.67</v>
      </c>
      <c r="L22" s="121">
        <f>'Pt 2 Premium and Claims'!L$55</f>
        <v>0</v>
      </c>
      <c r="M22" s="121">
        <f>'Pt 2 Premium and Claims'!M$55</f>
        <v>0</v>
      </c>
      <c r="N22" s="121">
        <f>'Pt 2 Premium and Claims'!N$55</f>
        <v>0</v>
      </c>
      <c r="O22" s="120">
        <f>'Pt 2 Premium and Claims'!O$55</f>
        <v>0</v>
      </c>
      <c r="P22" s="120">
        <f>'Pt 2 Premium and Claims'!P$55</f>
        <v>57331</v>
      </c>
      <c r="Q22" s="121">
        <f>'Pt 2 Premium and Claims'!Q$55</f>
        <v>57165.120000000003</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1143505.8685999999</v>
      </c>
      <c r="E25" s="116">
        <v>386878.22859999997</v>
      </c>
      <c r="F25" s="116"/>
      <c r="G25" s="116"/>
      <c r="H25" s="116"/>
      <c r="I25" s="115">
        <v>216051</v>
      </c>
      <c r="J25" s="115">
        <v>2436140.372</v>
      </c>
      <c r="K25" s="116">
        <v>2257111.1609308128</v>
      </c>
      <c r="L25" s="116"/>
      <c r="M25" s="116"/>
      <c r="N25" s="116"/>
      <c r="O25" s="115"/>
      <c r="P25" s="115">
        <v>152967.53630000001</v>
      </c>
      <c r="Q25" s="116">
        <v>125447.94450797491</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3379336.5619999999</v>
      </c>
      <c r="AT25" s="119">
        <v>1002558.27</v>
      </c>
      <c r="AU25" s="119"/>
      <c r="AV25" s="119"/>
      <c r="AW25" s="324"/>
    </row>
    <row r="26" spans="1:49" s="11" customFormat="1" x14ac:dyDescent="0.2">
      <c r="A26" s="41"/>
      <c r="B26" s="164" t="s">
        <v>243</v>
      </c>
      <c r="C26" s="68"/>
      <c r="D26" s="115"/>
      <c r="E26" s="116">
        <v>51223.850000000006</v>
      </c>
      <c r="F26" s="116"/>
      <c r="G26" s="116"/>
      <c r="H26" s="116"/>
      <c r="I26" s="115">
        <v>18781</v>
      </c>
      <c r="J26" s="115"/>
      <c r="K26" s="116">
        <v>45092.416352311811</v>
      </c>
      <c r="L26" s="116"/>
      <c r="M26" s="116"/>
      <c r="N26" s="116"/>
      <c r="O26" s="115"/>
      <c r="P26" s="115"/>
      <c r="Q26" s="116">
        <v>11778.568313903863</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925210.45999999985</v>
      </c>
      <c r="E27" s="116">
        <v>925210.45999999985</v>
      </c>
      <c r="F27" s="116"/>
      <c r="G27" s="116"/>
      <c r="H27" s="116"/>
      <c r="I27" s="115">
        <v>511293</v>
      </c>
      <c r="J27" s="115">
        <v>1197475.7699999998</v>
      </c>
      <c r="K27" s="116">
        <v>1109474.6248929282</v>
      </c>
      <c r="L27" s="116"/>
      <c r="M27" s="116"/>
      <c r="N27" s="116"/>
      <c r="O27" s="115"/>
      <c r="P27" s="115">
        <v>384938.78999999992</v>
      </c>
      <c r="Q27" s="116">
        <v>315686.45959088375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3172522.1</v>
      </c>
      <c r="AT27" s="119">
        <v>16958.59</v>
      </c>
      <c r="AU27" s="119"/>
      <c r="AV27" s="320"/>
      <c r="AW27" s="324"/>
    </row>
    <row r="28" spans="1:49" s="11" customFormat="1" x14ac:dyDescent="0.2">
      <c r="A28" s="41"/>
      <c r="B28" s="164" t="s">
        <v>245</v>
      </c>
      <c r="C28" s="68"/>
      <c r="D28" s="115">
        <v>1109217.1100000001</v>
      </c>
      <c r="E28" s="116">
        <v>240297.55</v>
      </c>
      <c r="F28" s="116"/>
      <c r="G28" s="116"/>
      <c r="H28" s="116"/>
      <c r="I28" s="115">
        <v>85437</v>
      </c>
      <c r="J28" s="115">
        <v>1392908.64</v>
      </c>
      <c r="K28" s="116">
        <v>186980.88747024327</v>
      </c>
      <c r="L28" s="116"/>
      <c r="M28" s="116"/>
      <c r="N28" s="116"/>
      <c r="O28" s="115"/>
      <c r="P28" s="115">
        <v>472091.99999999994</v>
      </c>
      <c r="Q28" s="116">
        <v>54328.618054596671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16570.710000000003</v>
      </c>
      <c r="AT28" s="119">
        <v>5488.47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48861.924279999992</v>
      </c>
      <c r="E30" s="116">
        <v>68477.295879999991</v>
      </c>
      <c r="F30" s="116"/>
      <c r="G30" s="116"/>
      <c r="H30" s="116"/>
      <c r="I30" s="115">
        <v>31525</v>
      </c>
      <c r="J30" s="115">
        <v>191043.18519999998</v>
      </c>
      <c r="K30" s="116">
        <v>160339.76620794242</v>
      </c>
      <c r="L30" s="116"/>
      <c r="M30" s="116"/>
      <c r="N30" s="116"/>
      <c r="O30" s="115"/>
      <c r="P30" s="115">
        <v>18505.110280000004</v>
      </c>
      <c r="Q30" s="116">
        <v>20604.572331147356</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278769.6679</v>
      </c>
      <c r="AT30" s="119">
        <v>71493.970229999977</v>
      </c>
      <c r="AU30" s="119"/>
      <c r="AV30" s="119"/>
      <c r="AW30" s="324"/>
    </row>
    <row r="31" spans="1:49" x14ac:dyDescent="0.2">
      <c r="B31" s="164" t="s">
        <v>248</v>
      </c>
      <c r="C31" s="68"/>
      <c r="D31" s="115">
        <v>1225315.0584</v>
      </c>
      <c r="E31" s="116">
        <v>1146824.9284000001</v>
      </c>
      <c r="F31" s="116"/>
      <c r="G31" s="116"/>
      <c r="H31" s="116"/>
      <c r="I31" s="115">
        <v>567645</v>
      </c>
      <c r="J31" s="115">
        <v>1704568.0029999998</v>
      </c>
      <c r="K31" s="116">
        <v>1579301.2210450927</v>
      </c>
      <c r="L31" s="116"/>
      <c r="M31" s="116"/>
      <c r="N31" s="116"/>
      <c r="O31" s="115"/>
      <c r="P31" s="115">
        <v>533442.92039999994</v>
      </c>
      <c r="Q31" s="116">
        <v>437473.9862794748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191426.65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1512785.54</v>
      </c>
      <c r="F34" s="116"/>
      <c r="G34" s="116"/>
      <c r="H34" s="116"/>
      <c r="I34" s="115">
        <v>470942</v>
      </c>
      <c r="J34" s="115"/>
      <c r="K34" s="116">
        <v>1232260.8640368674</v>
      </c>
      <c r="L34" s="116"/>
      <c r="M34" s="116"/>
      <c r="N34" s="116"/>
      <c r="O34" s="115"/>
      <c r="P34" s="115"/>
      <c r="Q34" s="116">
        <v>373727.76349528081</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66792.36</v>
      </c>
      <c r="E35" s="116">
        <v>832327.44</v>
      </c>
      <c r="F35" s="116"/>
      <c r="G35" s="116"/>
      <c r="H35" s="116"/>
      <c r="I35" s="115">
        <v>790069</v>
      </c>
      <c r="J35" s="115">
        <v>57158.02</v>
      </c>
      <c r="K35" s="116">
        <v>60448.133813374021</v>
      </c>
      <c r="L35" s="116"/>
      <c r="M35" s="116"/>
      <c r="N35" s="116"/>
      <c r="O35" s="115"/>
      <c r="P35" s="115">
        <v>18505.149999999998</v>
      </c>
      <c r="Q35" s="116">
        <v>15176.042367022597</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153966.41999999998</v>
      </c>
      <c r="AT35" s="119">
        <v>6478.2400000000016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229366</v>
      </c>
      <c r="E37" s="124">
        <v>229365.40999999997</v>
      </c>
      <c r="F37" s="124"/>
      <c r="G37" s="124"/>
      <c r="H37" s="124"/>
      <c r="I37" s="123">
        <v>93366</v>
      </c>
      <c r="J37" s="123">
        <v>365374</v>
      </c>
      <c r="K37" s="124">
        <v>349269.11999999994</v>
      </c>
      <c r="L37" s="124"/>
      <c r="M37" s="124"/>
      <c r="N37" s="124"/>
      <c r="O37" s="123"/>
      <c r="P37" s="123">
        <v>102125</v>
      </c>
      <c r="Q37" s="124">
        <v>90758.250000000015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1646057</v>
      </c>
      <c r="AT37" s="125">
        <v>371</v>
      </c>
      <c r="AU37" s="125"/>
      <c r="AV37" s="125"/>
      <c r="AW37" s="323"/>
    </row>
    <row r="38" spans="1:49" x14ac:dyDescent="0.2">
      <c r="B38" s="161" t="s">
        <v>255</v>
      </c>
      <c r="C38" s="68" t="s">
        <v>16</v>
      </c>
      <c r="D38" s="115">
        <v>50052</v>
      </c>
      <c r="E38" s="116">
        <v>50051.97</v>
      </c>
      <c r="F38" s="116"/>
      <c r="G38" s="116"/>
      <c r="H38" s="116"/>
      <c r="I38" s="115">
        <v>18602</v>
      </c>
      <c r="J38" s="115">
        <v>155585</v>
      </c>
      <c r="K38" s="116">
        <v>144040.13000000003</v>
      </c>
      <c r="L38" s="116"/>
      <c r="M38" s="116"/>
      <c r="N38" s="116"/>
      <c r="O38" s="115"/>
      <c r="P38" s="115">
        <v>44941</v>
      </c>
      <c r="Q38" s="116">
        <v>36860.019999999997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579779</v>
      </c>
      <c r="AT38" s="119">
        <v>-5</v>
      </c>
      <c r="AU38" s="119"/>
      <c r="AV38" s="119"/>
      <c r="AW38" s="324"/>
    </row>
    <row r="39" spans="1:49" x14ac:dyDescent="0.2">
      <c r="B39" s="164" t="s">
        <v>256</v>
      </c>
      <c r="C39" s="68" t="s">
        <v>17</v>
      </c>
      <c r="D39" s="115">
        <v>101991</v>
      </c>
      <c r="E39" s="116">
        <v>101990.98</v>
      </c>
      <c r="F39" s="116"/>
      <c r="G39" s="116"/>
      <c r="H39" s="116"/>
      <c r="I39" s="115">
        <v>34460</v>
      </c>
      <c r="J39" s="115">
        <v>156933</v>
      </c>
      <c r="K39" s="116">
        <v>154352.93</v>
      </c>
      <c r="L39" s="116"/>
      <c r="M39" s="116"/>
      <c r="N39" s="116"/>
      <c r="O39" s="115"/>
      <c r="P39" s="115">
        <v>42089</v>
      </c>
      <c r="Q39" s="116">
        <v>40238.379999999997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613485</v>
      </c>
      <c r="AT39" s="119">
        <v>8386</v>
      </c>
      <c r="AU39" s="119"/>
      <c r="AV39" s="119"/>
      <c r="AW39" s="324"/>
    </row>
    <row r="40" spans="1:49" x14ac:dyDescent="0.2">
      <c r="B40" s="164" t="s">
        <v>257</v>
      </c>
      <c r="C40" s="68" t="s">
        <v>38</v>
      </c>
      <c r="D40" s="115">
        <v>370848</v>
      </c>
      <c r="E40" s="116">
        <v>370848.14999999997</v>
      </c>
      <c r="F40" s="116"/>
      <c r="G40" s="116"/>
      <c r="H40" s="116"/>
      <c r="I40" s="115">
        <v>50091</v>
      </c>
      <c r="J40" s="115">
        <v>996186</v>
      </c>
      <c r="K40" s="116">
        <v>988013.32999999984</v>
      </c>
      <c r="L40" s="116"/>
      <c r="M40" s="116"/>
      <c r="N40" s="116"/>
      <c r="O40" s="115"/>
      <c r="P40" s="115">
        <v>329763</v>
      </c>
      <c r="Q40" s="116">
        <v>324048.05000000005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1168970</v>
      </c>
      <c r="AT40" s="119">
        <v>11075</v>
      </c>
      <c r="AU40" s="119"/>
      <c r="AV40" s="119"/>
      <c r="AW40" s="324"/>
    </row>
    <row r="41" spans="1:49" s="11" customFormat="1" ht="25.5" x14ac:dyDescent="0.2">
      <c r="A41" s="41"/>
      <c r="B41" s="164" t="s">
        <v>258</v>
      </c>
      <c r="C41" s="68" t="s">
        <v>129</v>
      </c>
      <c r="D41" s="115">
        <v>107640</v>
      </c>
      <c r="E41" s="116">
        <v>107639.37999999999</v>
      </c>
      <c r="F41" s="116"/>
      <c r="G41" s="116"/>
      <c r="H41" s="116"/>
      <c r="I41" s="115">
        <v>24064</v>
      </c>
      <c r="J41" s="115">
        <v>97858</v>
      </c>
      <c r="K41" s="116">
        <v>90315.959999999992</v>
      </c>
      <c r="L41" s="116"/>
      <c r="M41" s="116"/>
      <c r="N41" s="116"/>
      <c r="O41" s="115"/>
      <c r="P41" s="115">
        <v>30483</v>
      </c>
      <c r="Q41" s="116">
        <v>24832.42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941096</v>
      </c>
      <c r="AT41" s="119">
        <v>11244</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789621</v>
      </c>
      <c r="E44" s="124">
        <v>789621</v>
      </c>
      <c r="F44" s="124"/>
      <c r="G44" s="124"/>
      <c r="H44" s="124"/>
      <c r="I44" s="123">
        <v>307360</v>
      </c>
      <c r="J44" s="123">
        <v>1171181</v>
      </c>
      <c r="K44" s="124">
        <v>1082422.8940471706</v>
      </c>
      <c r="L44" s="124"/>
      <c r="M44" s="124"/>
      <c r="N44" s="124"/>
      <c r="O44" s="123"/>
      <c r="P44" s="123">
        <v>422966</v>
      </c>
      <c r="Q44" s="124">
        <v>347743.80528635392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3186401</v>
      </c>
      <c r="AT44" s="125">
        <v>14101</v>
      </c>
      <c r="AU44" s="125"/>
      <c r="AV44" s="125"/>
      <c r="AW44" s="323"/>
    </row>
    <row r="45" spans="1:49" x14ac:dyDescent="0.2">
      <c r="B45" s="167" t="s">
        <v>262</v>
      </c>
      <c r="C45" s="68" t="s">
        <v>19</v>
      </c>
      <c r="D45" s="115">
        <v>940896</v>
      </c>
      <c r="E45" s="116">
        <v>940896</v>
      </c>
      <c r="F45" s="116"/>
      <c r="G45" s="116"/>
      <c r="H45" s="116"/>
      <c r="I45" s="115">
        <v>393452</v>
      </c>
      <c r="J45" s="115">
        <v>701384</v>
      </c>
      <c r="K45" s="116">
        <v>648229.52141332615</v>
      </c>
      <c r="L45" s="116"/>
      <c r="M45" s="116"/>
      <c r="N45" s="116"/>
      <c r="O45" s="115"/>
      <c r="P45" s="115">
        <v>235605</v>
      </c>
      <c r="Q45" s="116">
        <v>193703.93659180979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3314122</v>
      </c>
      <c r="AT45" s="119">
        <v>84848</v>
      </c>
      <c r="AU45" s="119"/>
      <c r="AV45" s="119"/>
      <c r="AW45" s="324"/>
    </row>
    <row r="46" spans="1:49" x14ac:dyDescent="0.2">
      <c r="B46" s="167" t="s">
        <v>263</v>
      </c>
      <c r="C46" s="68" t="s">
        <v>20</v>
      </c>
      <c r="D46" s="115">
        <v>898830</v>
      </c>
      <c r="E46" s="116">
        <v>898830</v>
      </c>
      <c r="F46" s="116"/>
      <c r="G46" s="116"/>
      <c r="H46" s="116"/>
      <c r="I46" s="115">
        <v>348173</v>
      </c>
      <c r="J46" s="115">
        <v>607161</v>
      </c>
      <c r="K46" s="116">
        <v>561147.22384718864</v>
      </c>
      <c r="L46" s="116"/>
      <c r="M46" s="116"/>
      <c r="N46" s="116"/>
      <c r="O46" s="115"/>
      <c r="P46" s="115">
        <v>226205</v>
      </c>
      <c r="Q46" s="116">
        <v>185975.67529021172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2919319</v>
      </c>
      <c r="AT46" s="119">
        <v>45717</v>
      </c>
      <c r="AU46" s="119"/>
      <c r="AV46" s="119"/>
      <c r="AW46" s="324"/>
    </row>
    <row r="47" spans="1:49" x14ac:dyDescent="0.2">
      <c r="B47" s="167" t="s">
        <v>264</v>
      </c>
      <c r="C47" s="68" t="s">
        <v>21</v>
      </c>
      <c r="D47" s="115">
        <v>3562772</v>
      </c>
      <c r="E47" s="116">
        <v>3562772</v>
      </c>
      <c r="F47" s="116"/>
      <c r="G47" s="116"/>
      <c r="H47" s="116"/>
      <c r="I47" s="115">
        <v>1950504</v>
      </c>
      <c r="J47" s="115">
        <v>4852929</v>
      </c>
      <c r="K47" s="116">
        <v>4485149.1381651871</v>
      </c>
      <c r="L47" s="116"/>
      <c r="M47" s="116"/>
      <c r="N47" s="116"/>
      <c r="O47" s="115"/>
      <c r="P47" s="115">
        <v>1190019</v>
      </c>
      <c r="Q47" s="116">
        <v>978380.61551770498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2749283</v>
      </c>
      <c r="AT47" s="119">
        <v>1189644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239518.16732000001</v>
      </c>
      <c r="E49" s="116">
        <v>-13153.19428</v>
      </c>
      <c r="F49" s="116"/>
      <c r="G49" s="116"/>
      <c r="H49" s="116"/>
      <c r="I49" s="115">
        <v>-7855</v>
      </c>
      <c r="J49" s="115">
        <v>21713.671800000011</v>
      </c>
      <c r="K49" s="116">
        <v>-144139.45590045591</v>
      </c>
      <c r="L49" s="116"/>
      <c r="M49" s="116"/>
      <c r="N49" s="116"/>
      <c r="O49" s="115"/>
      <c r="P49" s="115">
        <v>64045.869319999998</v>
      </c>
      <c r="Q49" s="116">
        <v>-5593.5431076541081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719099.6921000001</v>
      </c>
      <c r="AT49" s="119">
        <v>68588.689769999983</v>
      </c>
      <c r="AU49" s="119"/>
      <c r="AV49" s="119"/>
      <c r="AW49" s="324"/>
    </row>
    <row r="50" spans="2:49" ht="25.5" x14ac:dyDescent="0.2">
      <c r="B50" s="161" t="s">
        <v>266</v>
      </c>
      <c r="C50" s="68"/>
      <c r="D50" s="115">
        <v>3519.3100000000031</v>
      </c>
      <c r="E50" s="116">
        <v>3519.3100000000031</v>
      </c>
      <c r="F50" s="116"/>
      <c r="G50" s="116"/>
      <c r="H50" s="116"/>
      <c r="I50" s="115">
        <v>1197</v>
      </c>
      <c r="J50" s="115">
        <v>3168.2400000000016</v>
      </c>
      <c r="K50" s="116">
        <v>2928.1345153618522</v>
      </c>
      <c r="L50" s="116"/>
      <c r="M50" s="116"/>
      <c r="N50" s="116"/>
      <c r="O50" s="115"/>
      <c r="P50" s="115">
        <v>1056.45</v>
      </c>
      <c r="Q50" s="116">
        <v>868.56613319928465</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9234.9500000000007</v>
      </c>
      <c r="AT50" s="119">
        <v>317.91999999999996</v>
      </c>
      <c r="AU50" s="119"/>
      <c r="AV50" s="119"/>
      <c r="AW50" s="324"/>
    </row>
    <row r="51" spans="2:49" x14ac:dyDescent="0.2">
      <c r="B51" s="161" t="s">
        <v>267</v>
      </c>
      <c r="C51" s="68"/>
      <c r="D51" s="115">
        <v>6937600</v>
      </c>
      <c r="E51" s="116">
        <v>6937600</v>
      </c>
      <c r="F51" s="116"/>
      <c r="G51" s="116"/>
      <c r="H51" s="116"/>
      <c r="I51" s="115">
        <v>2452458</v>
      </c>
      <c r="J51" s="115">
        <v>5975854</v>
      </c>
      <c r="K51" s="116">
        <v>5522973.119512151</v>
      </c>
      <c r="L51" s="116"/>
      <c r="M51" s="116"/>
      <c r="N51" s="116"/>
      <c r="O51" s="115"/>
      <c r="P51" s="115">
        <v>1928879</v>
      </c>
      <c r="Q51" s="116">
        <v>1585838.396932465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15378394</v>
      </c>
      <c r="AT51" s="119">
        <v>709390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15926</v>
      </c>
      <c r="E56" s="128">
        <v>15596</v>
      </c>
      <c r="F56" s="128"/>
      <c r="G56" s="128"/>
      <c r="H56" s="128"/>
      <c r="I56" s="127">
        <v>7622</v>
      </c>
      <c r="J56" s="127">
        <v>16171</v>
      </c>
      <c r="K56" s="128">
        <v>15185</v>
      </c>
      <c r="L56" s="128"/>
      <c r="M56" s="128"/>
      <c r="N56" s="128"/>
      <c r="O56" s="127"/>
      <c r="P56" s="127">
        <v>7272</v>
      </c>
      <c r="Q56" s="128">
        <v>3967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91489</v>
      </c>
      <c r="AT56" s="129">
        <v>19426</v>
      </c>
      <c r="AU56" s="129"/>
      <c r="AV56" s="129"/>
      <c r="AW56" s="315"/>
    </row>
    <row r="57" spans="2:49" x14ac:dyDescent="0.2">
      <c r="B57" s="167" t="s">
        <v>273</v>
      </c>
      <c r="C57" s="68" t="s">
        <v>25</v>
      </c>
      <c r="D57" s="130">
        <v>25283</v>
      </c>
      <c r="E57" s="131">
        <v>24776</v>
      </c>
      <c r="F57" s="131"/>
      <c r="G57" s="131"/>
      <c r="H57" s="131"/>
      <c r="I57" s="130">
        <v>11062</v>
      </c>
      <c r="J57" s="130">
        <v>32980</v>
      </c>
      <c r="K57" s="131">
        <v>25844</v>
      </c>
      <c r="L57" s="131"/>
      <c r="M57" s="131"/>
      <c r="N57" s="131"/>
      <c r="O57" s="130"/>
      <c r="P57" s="130">
        <v>12155</v>
      </c>
      <c r="Q57" s="131">
        <v>6854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105644</v>
      </c>
      <c r="AT57" s="132">
        <v>34327</v>
      </c>
      <c r="AU57" s="132"/>
      <c r="AV57" s="132"/>
      <c r="AW57" s="316"/>
    </row>
    <row r="58" spans="2:49" x14ac:dyDescent="0.2">
      <c r="B58" s="167" t="s">
        <v>274</v>
      </c>
      <c r="C58" s="68" t="s">
        <v>26</v>
      </c>
      <c r="D58" s="336"/>
      <c r="E58" s="337"/>
      <c r="F58" s="337"/>
      <c r="G58" s="337"/>
      <c r="H58" s="337"/>
      <c r="I58" s="336"/>
      <c r="J58" s="130">
        <v>1569</v>
      </c>
      <c r="K58" s="131">
        <v>1569</v>
      </c>
      <c r="L58" s="131"/>
      <c r="M58" s="131"/>
      <c r="N58" s="131"/>
      <c r="O58" s="130"/>
      <c r="P58" s="130">
        <v>39</v>
      </c>
      <c r="Q58" s="131">
        <v>39</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33</v>
      </c>
      <c r="AT58" s="132">
        <v>26</v>
      </c>
      <c r="AU58" s="132"/>
      <c r="AV58" s="132"/>
      <c r="AW58" s="316"/>
    </row>
    <row r="59" spans="2:49" x14ac:dyDescent="0.2">
      <c r="B59" s="167" t="s">
        <v>275</v>
      </c>
      <c r="C59" s="68" t="s">
        <v>27</v>
      </c>
      <c r="D59" s="130">
        <v>303444</v>
      </c>
      <c r="E59" s="131">
        <v>297853</v>
      </c>
      <c r="F59" s="131"/>
      <c r="G59" s="131"/>
      <c r="H59" s="131"/>
      <c r="I59" s="130">
        <v>111267</v>
      </c>
      <c r="J59" s="130">
        <v>354794</v>
      </c>
      <c r="K59" s="131">
        <v>257648</v>
      </c>
      <c r="L59" s="131"/>
      <c r="M59" s="131"/>
      <c r="N59" s="131"/>
      <c r="O59" s="130"/>
      <c r="P59" s="130">
        <v>150598</v>
      </c>
      <c r="Q59" s="131">
        <v>70328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1236150</v>
      </c>
      <c r="AT59" s="132">
        <v>387041</v>
      </c>
      <c r="AU59" s="132"/>
      <c r="AV59" s="132"/>
      <c r="AW59" s="316"/>
    </row>
    <row r="60" spans="2:49" x14ac:dyDescent="0.2">
      <c r="B60" s="167" t="s">
        <v>276</v>
      </c>
      <c r="C60" s="68"/>
      <c r="D60" s="133">
        <f>D$59/12</f>
        <v>25287</v>
      </c>
      <c r="E60" s="134">
        <f>E$59/12</f>
        <v>24821.083333333332</v>
      </c>
      <c r="F60" s="134">
        <f>F$59/12</f>
        <v>0</v>
      </c>
      <c r="G60" s="134">
        <f>G$59/12</f>
        <v>0</v>
      </c>
      <c r="H60" s="134">
        <f>H$59/12</f>
        <v>0</v>
      </c>
      <c r="I60" s="133">
        <f>I$59/12</f>
        <v>9272.25</v>
      </c>
      <c r="J60" s="133">
        <f>J$59/12</f>
        <v>29566.166666666668</v>
      </c>
      <c r="K60" s="134">
        <f>K$59/12</f>
        <v>21470.666666666668</v>
      </c>
      <c r="L60" s="134">
        <f>L$59/12</f>
        <v>0</v>
      </c>
      <c r="M60" s="134">
        <f>M$59/12</f>
        <v>0</v>
      </c>
      <c r="N60" s="134">
        <f>N$59/12</f>
        <v>0</v>
      </c>
      <c r="O60" s="133">
        <f>O$59/12</f>
        <v>0</v>
      </c>
      <c r="P60" s="133">
        <f>P$59/12</f>
        <v>12549.833333333334</v>
      </c>
      <c r="Q60" s="134">
        <f>Q$59/12</f>
        <v>5860.666666666667</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103012.5</v>
      </c>
      <c r="AT60" s="135">
        <f>AT$59/12</f>
        <v>32253.416666666668</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74002314</v>
      </c>
      <c r="E5" s="124">
        <v>65549030.1161227</v>
      </c>
      <c r="F5" s="124"/>
      <c r="G5" s="136"/>
      <c r="H5" s="136"/>
      <c r="I5" s="123">
        <v>32618727</v>
      </c>
      <c r="J5" s="123">
        <v>98180686</v>
      </c>
      <c r="K5" s="124">
        <v>90525380.116875991</v>
      </c>
      <c r="L5" s="124"/>
      <c r="M5" s="124"/>
      <c r="N5" s="124"/>
      <c r="O5" s="123"/>
      <c r="P5" s="123">
        <v>28591495</v>
      </c>
      <c r="Q5" s="124">
        <v>24175641.720059</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254284937</v>
      </c>
      <c r="AT5" s="125">
        <v>13101035</v>
      </c>
      <c r="AU5" s="125"/>
      <c r="AV5" s="318"/>
      <c r="AW5" s="323"/>
    </row>
    <row r="6" spans="2:49" x14ac:dyDescent="0.2">
      <c r="B6" s="182" t="s">
        <v>279</v>
      </c>
      <c r="C6" s="139" t="s">
        <v>8</v>
      </c>
      <c r="D6" s="115">
        <v>121333</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29475</v>
      </c>
      <c r="AU6" s="119"/>
      <c r="AV6" s="317"/>
      <c r="AW6" s="324"/>
    </row>
    <row r="7" spans="2:49" x14ac:dyDescent="0.2">
      <c r="B7" s="182" t="s">
        <v>280</v>
      </c>
      <c r="C7" s="139" t="s">
        <v>9</v>
      </c>
      <c r="D7" s="115">
        <v>111748</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20979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-0.42000000010011718</v>
      </c>
      <c r="E9" s="294"/>
      <c r="F9" s="294"/>
      <c r="G9" s="294"/>
      <c r="H9" s="294"/>
      <c r="I9" s="298"/>
      <c r="J9" s="115">
        <v>9631.8700000008103</v>
      </c>
      <c r="K9" s="294"/>
      <c r="L9" s="294"/>
      <c r="M9" s="294"/>
      <c r="N9" s="294"/>
      <c r="O9" s="298"/>
      <c r="P9" s="115">
        <v>-9632.0400000000373</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0.47000000008847564</v>
      </c>
      <c r="E11" s="116"/>
      <c r="F11" s="116"/>
      <c r="G11" s="116"/>
      <c r="H11" s="116"/>
      <c r="I11" s="115"/>
      <c r="J11" s="115">
        <v>0.5</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-6153221</v>
      </c>
      <c r="AT11" s="119"/>
      <c r="AU11" s="119"/>
      <c r="AV11" s="317"/>
      <c r="AW11" s="324"/>
    </row>
    <row r="12" spans="2:49" x14ac:dyDescent="0.2">
      <c r="B12" s="182" t="s">
        <v>283</v>
      </c>
      <c r="C12" s="139" t="s">
        <v>44</v>
      </c>
      <c r="D12" s="115">
        <v>-0.28000000095926225</v>
      </c>
      <c r="E12" s="295"/>
      <c r="F12" s="295"/>
      <c r="G12" s="295"/>
      <c r="H12" s="295"/>
      <c r="I12" s="299"/>
      <c r="J12" s="115">
        <v>-0.25999999791383743</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-3934931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7489285.2700000005</v>
      </c>
      <c r="F15" s="116"/>
      <c r="G15" s="116"/>
      <c r="H15" s="116"/>
      <c r="I15" s="115">
        <v>7489285</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275162.36</v>
      </c>
      <c r="F16" s="116"/>
      <c r="G16" s="116"/>
      <c r="H16" s="116"/>
      <c r="I16" s="115">
        <v>275162</v>
      </c>
      <c r="J16" s="115"/>
      <c r="K16" s="116">
        <v>-1959826.68</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6302049</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66396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-447960</v>
      </c>
      <c r="AU19" s="119"/>
      <c r="AV19" s="317"/>
      <c r="AW19" s="324"/>
    </row>
    <row r="20" spans="2:49" s="11" customFormat="1" ht="25.5" x14ac:dyDescent="0.2">
      <c r="B20" s="184" t="s">
        <v>485</v>
      </c>
      <c r="C20" s="139"/>
      <c r="D20" s="115"/>
      <c r="E20" s="116">
        <v>10955897.85</v>
      </c>
      <c r="F20" s="116"/>
      <c r="G20" s="116"/>
      <c r="H20" s="116"/>
      <c r="I20" s="115">
        <v>10955898</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58538758</v>
      </c>
      <c r="E23" s="294"/>
      <c r="F23" s="294"/>
      <c r="G23" s="294"/>
      <c r="H23" s="294"/>
      <c r="I23" s="298"/>
      <c r="J23" s="115">
        <v>71118787</v>
      </c>
      <c r="K23" s="294"/>
      <c r="L23" s="294"/>
      <c r="M23" s="294"/>
      <c r="N23" s="294"/>
      <c r="O23" s="298"/>
      <c r="P23" s="115">
        <v>23342327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211028323</v>
      </c>
      <c r="AT23" s="119">
        <v>7708002</v>
      </c>
      <c r="AU23" s="119"/>
      <c r="AV23" s="317"/>
      <c r="AW23" s="324"/>
    </row>
    <row r="24" spans="2:49" ht="28.5" customHeight="1" x14ac:dyDescent="0.2">
      <c r="B24" s="184" t="s">
        <v>114</v>
      </c>
      <c r="C24" s="139"/>
      <c r="D24" s="299"/>
      <c r="E24" s="116">
        <v>68591463.547000021</v>
      </c>
      <c r="F24" s="116"/>
      <c r="G24" s="116"/>
      <c r="H24" s="116"/>
      <c r="I24" s="115">
        <v>44673366</v>
      </c>
      <c r="J24" s="299"/>
      <c r="K24" s="116">
        <v>69188865.629999995</v>
      </c>
      <c r="L24" s="116"/>
      <c r="M24" s="116"/>
      <c r="N24" s="116"/>
      <c r="O24" s="115"/>
      <c r="P24" s="299"/>
      <c r="Q24" s="116">
        <v>20811256.860000003</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9827747</v>
      </c>
      <c r="E26" s="294"/>
      <c r="F26" s="294"/>
      <c r="G26" s="294"/>
      <c r="H26" s="294"/>
      <c r="I26" s="298"/>
      <c r="J26" s="115">
        <v>7576678</v>
      </c>
      <c r="K26" s="294"/>
      <c r="L26" s="294"/>
      <c r="M26" s="294"/>
      <c r="N26" s="294"/>
      <c r="O26" s="298"/>
      <c r="P26" s="115">
        <v>2830242</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17590117</v>
      </c>
      <c r="AT26" s="119">
        <v>1260316</v>
      </c>
      <c r="AU26" s="119"/>
      <c r="AV26" s="317"/>
      <c r="AW26" s="324"/>
    </row>
    <row r="27" spans="2:49" s="11" customFormat="1" ht="25.5" x14ac:dyDescent="0.2">
      <c r="B27" s="184" t="s">
        <v>85</v>
      </c>
      <c r="C27" s="139"/>
      <c r="D27" s="299"/>
      <c r="E27" s="116">
        <v>1978806.3780000005</v>
      </c>
      <c r="F27" s="116"/>
      <c r="G27" s="116"/>
      <c r="H27" s="116"/>
      <c r="I27" s="115">
        <v>1634773</v>
      </c>
      <c r="J27" s="299"/>
      <c r="K27" s="116">
        <v>530951.86243538803</v>
      </c>
      <c r="L27" s="116"/>
      <c r="M27" s="116"/>
      <c r="N27" s="116"/>
      <c r="O27" s="115"/>
      <c r="P27" s="299"/>
      <c r="Q27" s="116">
        <v>227871.13586461672</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3644317</v>
      </c>
      <c r="E28" s="295"/>
      <c r="F28" s="295"/>
      <c r="G28" s="295"/>
      <c r="H28" s="295"/>
      <c r="I28" s="299"/>
      <c r="J28" s="115">
        <v>6675380</v>
      </c>
      <c r="K28" s="295"/>
      <c r="L28" s="295"/>
      <c r="M28" s="295"/>
      <c r="N28" s="295"/>
      <c r="O28" s="299"/>
      <c r="P28" s="115">
        <v>3772859</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18300582.000000004</v>
      </c>
      <c r="AT28" s="119">
        <v>1894582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24974</v>
      </c>
      <c r="K30" s="294"/>
      <c r="L30" s="294"/>
      <c r="M30" s="294"/>
      <c r="N30" s="294"/>
      <c r="O30" s="298"/>
      <c r="P30" s="115">
        <v>697</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300486</v>
      </c>
      <c r="AU30" s="119"/>
      <c r="AV30" s="317"/>
      <c r="AW30" s="324"/>
    </row>
    <row r="31" spans="2:49" s="11" customFormat="1" ht="25.5" x14ac:dyDescent="0.2">
      <c r="B31" s="184" t="s">
        <v>84</v>
      </c>
      <c r="C31" s="139"/>
      <c r="D31" s="299"/>
      <c r="E31" s="116"/>
      <c r="F31" s="116"/>
      <c r="G31" s="116"/>
      <c r="H31" s="116"/>
      <c r="I31" s="115"/>
      <c r="J31" s="299"/>
      <c r="K31" s="116">
        <v>24973.98</v>
      </c>
      <c r="L31" s="116"/>
      <c r="M31" s="116"/>
      <c r="N31" s="116"/>
      <c r="O31" s="115"/>
      <c r="P31" s="299"/>
      <c r="Q31" s="116">
        <v>-19041.2</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19739</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197318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6312081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6312081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6670428</v>
      </c>
      <c r="E36" s="116">
        <v>6670428</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251584</v>
      </c>
      <c r="E38" s="294"/>
      <c r="F38" s="294"/>
      <c r="G38" s="294"/>
      <c r="H38" s="294"/>
      <c r="I38" s="298"/>
      <c r="J38" s="115">
        <v>1937744</v>
      </c>
      <c r="K38" s="294"/>
      <c r="L38" s="294"/>
      <c r="M38" s="294"/>
      <c r="N38" s="294"/>
      <c r="O38" s="298"/>
      <c r="P38" s="115">
        <v>9633</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947014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809878</v>
      </c>
      <c r="E41" s="294"/>
      <c r="F41" s="294"/>
      <c r="G41" s="294"/>
      <c r="H41" s="294"/>
      <c r="I41" s="298"/>
      <c r="J41" s="115">
        <v>1353066</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-6153221</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1499537</v>
      </c>
      <c r="E43" s="295"/>
      <c r="F43" s="295"/>
      <c r="G43" s="295"/>
      <c r="H43" s="295"/>
      <c r="I43" s="299"/>
      <c r="J43" s="115">
        <v>4051286</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-3934931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1968</v>
      </c>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107421</v>
      </c>
      <c r="E49" s="116">
        <v>609003.92000000004</v>
      </c>
      <c r="F49" s="116"/>
      <c r="G49" s="116"/>
      <c r="H49" s="116"/>
      <c r="I49" s="115">
        <v>324488</v>
      </c>
      <c r="J49" s="115">
        <v>367814</v>
      </c>
      <c r="K49" s="116">
        <v>1717938.2451524264</v>
      </c>
      <c r="L49" s="116"/>
      <c r="M49" s="116"/>
      <c r="N49" s="116"/>
      <c r="O49" s="115"/>
      <c r="P49" s="115">
        <v>265725</v>
      </c>
      <c r="Q49" s="116">
        <v>301528.34484757262</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6500596</v>
      </c>
      <c r="AT49" s="119">
        <v>1915</v>
      </c>
      <c r="AU49" s="119"/>
      <c r="AV49" s="317"/>
      <c r="AW49" s="324"/>
    </row>
    <row r="50" spans="2:49" x14ac:dyDescent="0.2">
      <c r="B50" s="182" t="s">
        <v>119</v>
      </c>
      <c r="C50" s="139" t="s">
        <v>34</v>
      </c>
      <c r="D50" s="115">
        <v>191207</v>
      </c>
      <c r="E50" s="295"/>
      <c r="F50" s="295"/>
      <c r="G50" s="295"/>
      <c r="H50" s="295"/>
      <c r="I50" s="299"/>
      <c r="J50" s="115">
        <v>151417</v>
      </c>
      <c r="K50" s="295"/>
      <c r="L50" s="295"/>
      <c r="M50" s="295"/>
      <c r="N50" s="295"/>
      <c r="O50" s="299"/>
      <c r="P50" s="115">
        <v>92446</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5108808</v>
      </c>
      <c r="AT50" s="119">
        <v>1015.0000000000001</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163854</v>
      </c>
      <c r="L53" s="116"/>
      <c r="M53" s="116"/>
      <c r="N53" s="116"/>
      <c r="O53" s="115"/>
      <c r="P53" s="115"/>
      <c r="Q53" s="116">
        <v>41561</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64009552</v>
      </c>
      <c r="E54" s="121">
        <f>E24+E27+E31+E35-E36+E39+E42+E45+E46-E49+E51+E52+E53</f>
        <v>69602919.005000025</v>
      </c>
      <c r="F54" s="121">
        <f>F24+F27+F31+F35-F36+F39+F42+F45+F46-F49+F51+F52+F53</f>
        <v>0</v>
      </c>
      <c r="G54" s="121">
        <f>G24+G27+G31+G35-G36+G39+G42+G45+G46-G49+G51+G52+G53</f>
        <v>0</v>
      </c>
      <c r="H54" s="121">
        <f>H24+H27+H31+H35-H36+H39+H42+H45+H46-H49+H51+H52+H53</f>
        <v>0</v>
      </c>
      <c r="I54" s="120">
        <f>I24+I27+I31+I35-I36+I39+I42+I45+I46-I49+I51+I52+I53</f>
        <v>45983651</v>
      </c>
      <c r="J54" s="120">
        <f>J23+J26-J28+J30-J32+J34-J36+J38+J41-J43+J45+J46-J47-J49+J50+J51+J52+J53</f>
        <v>71048447</v>
      </c>
      <c r="K54" s="121">
        <f>K24+K27+K31+K35-K36+K39+K42+K45+K46-K49+K51+K52+K53</f>
        <v>68190707.227282956</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22236761</v>
      </c>
      <c r="Q54" s="121">
        <f>Q24+Q27+Q31+Q35-Q36+Q39+Q42+Q45+Q46-Q49+Q51+Q52+Q53</f>
        <v>20760119.451017048</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207656762</v>
      </c>
      <c r="AT54" s="122">
        <f>AT23+AT26-AT28+AT30-AT32+AT34-AT36+AT38+AT41-AT43+AT45+AT46-AT47-AT49+AT50+AT51+AT52+AT53</f>
        <v>7176004</v>
      </c>
      <c r="AU54" s="122">
        <f>AU23+AU26-AU28+AU30-AU32+AU34-AU36+AU38+AU41-AU43+AU45+AU46-AU47-AU49+AU50+AU51+AU52+AU53</f>
        <v>0</v>
      </c>
      <c r="AV54" s="317"/>
      <c r="AW54" s="324"/>
    </row>
    <row r="55" spans="2:49" ht="25.5" x14ac:dyDescent="0.2">
      <c r="B55" s="187" t="s">
        <v>304</v>
      </c>
      <c r="C55" s="143" t="s">
        <v>28</v>
      </c>
      <c r="D55" s="120">
        <f>MIN(MAX(0,D56),MAX(0,D57))</f>
        <v>71523</v>
      </c>
      <c r="E55" s="121">
        <f>MIN(MAX(0,E56),MAX(0,E57))</f>
        <v>71523</v>
      </c>
      <c r="F55" s="121">
        <f>MIN(MAX(0,F56),MAX(0,F57))</f>
        <v>0</v>
      </c>
      <c r="G55" s="121">
        <f>MIN(MAX(0,G56),MAX(0,G57))</f>
        <v>0</v>
      </c>
      <c r="H55" s="121">
        <f>MIN(MAX(0,H56),MAX(0,H57))</f>
        <v>0</v>
      </c>
      <c r="I55" s="120">
        <f>MIN(MAX(0,I56),MAX(0,I57))</f>
        <v>12731</v>
      </c>
      <c r="J55" s="120">
        <f>MIN(MAX(0,J56),MAX(0,J57))</f>
        <v>127884</v>
      </c>
      <c r="K55" s="121">
        <f>MIN(MAX(0,K56),MAX(0,K57))</f>
        <v>123585.67</v>
      </c>
      <c r="L55" s="121">
        <f>MIN(MAX(0,L56),MAX(0,L57))</f>
        <v>0</v>
      </c>
      <c r="M55" s="121">
        <f>MIN(MAX(0,M56),MAX(0,M57))</f>
        <v>0</v>
      </c>
      <c r="N55" s="121">
        <f>MIN(MAX(0,N56),MAX(0,N57))</f>
        <v>0</v>
      </c>
      <c r="O55" s="120">
        <f>MIN(MAX(0,O56),MAX(0,O57))</f>
        <v>0</v>
      </c>
      <c r="P55" s="120">
        <f>MIN(MAX(0,P56),MAX(0,P57))</f>
        <v>57331</v>
      </c>
      <c r="Q55" s="121">
        <f>MIN(MAX(0,Q56),MAX(0,Q57))</f>
        <v>57165.120000000003</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103752</v>
      </c>
      <c r="E56" s="116">
        <v>103752</v>
      </c>
      <c r="F56" s="116"/>
      <c r="G56" s="116"/>
      <c r="H56" s="116"/>
      <c r="I56" s="115">
        <v>38500</v>
      </c>
      <c r="J56" s="115">
        <v>137284</v>
      </c>
      <c r="K56" s="116">
        <v>137052.68</v>
      </c>
      <c r="L56" s="116"/>
      <c r="M56" s="116"/>
      <c r="N56" s="116"/>
      <c r="O56" s="115"/>
      <c r="P56" s="115">
        <v>57331</v>
      </c>
      <c r="Q56" s="116">
        <v>57165.120000000003</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71523</v>
      </c>
      <c r="E57" s="116">
        <v>71523</v>
      </c>
      <c r="F57" s="116"/>
      <c r="G57" s="116"/>
      <c r="H57" s="116"/>
      <c r="I57" s="115">
        <v>12731</v>
      </c>
      <c r="J57" s="115">
        <v>127884</v>
      </c>
      <c r="K57" s="116">
        <v>123585.67</v>
      </c>
      <c r="L57" s="116"/>
      <c r="M57" s="116"/>
      <c r="N57" s="116"/>
      <c r="O57" s="115"/>
      <c r="P57" s="115">
        <v>155268</v>
      </c>
      <c r="Q57" s="116">
        <v>136091.97</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3510722</v>
      </c>
      <c r="AT57" s="119">
        <v>41170</v>
      </c>
      <c r="AU57" s="119"/>
      <c r="AV57" s="119"/>
      <c r="AW57" s="324"/>
    </row>
    <row r="58" spans="2:49" s="11" customFormat="1" x14ac:dyDescent="0.2">
      <c r="B58" s="190" t="s">
        <v>484</v>
      </c>
      <c r="C58" s="191"/>
      <c r="D58" s="192"/>
      <c r="E58" s="193">
        <v>2918163.65</v>
      </c>
      <c r="F58" s="193"/>
      <c r="G58" s="193"/>
      <c r="H58" s="193"/>
      <c r="I58" s="192">
        <v>2918164</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21568493.100000001</v>
      </c>
      <c r="D5" s="124">
        <v>27969645.270499997</v>
      </c>
      <c r="E5" s="352"/>
      <c r="F5" s="352"/>
      <c r="G5" s="318"/>
      <c r="H5" s="123">
        <v>40638110.140000001</v>
      </c>
      <c r="I5" s="124">
        <v>49814005.699451819</v>
      </c>
      <c r="J5" s="352"/>
      <c r="K5" s="352"/>
      <c r="L5" s="318"/>
      <c r="M5" s="123">
        <v>20650490.400000002</v>
      </c>
      <c r="N5" s="124">
        <v>21688368.066448174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21486798.489999995</v>
      </c>
      <c r="D6" s="116">
        <v>27518173.108999997</v>
      </c>
      <c r="E6" s="121">
        <f>SUM('Pt 1 Summary of Data'!E$12,'Pt 1 Summary of Data'!E$22)+SUM('Pt 1 Summary of Data'!G$12,'Pt 1 Summary of Data'!G$22)-SUM('Pt 1 Summary of Data'!H$12,'Pt 1 Summary of Data'!H$22)</f>
        <v>69674442.005000025</v>
      </c>
      <c r="F6" s="121">
        <f>SUM(C6:E6)</f>
        <v>118679413.60400002</v>
      </c>
      <c r="G6" s="122">
        <f>SUM('Pt 1 Summary of Data'!I$12,'Pt 1 Summary of Data'!I$22)</f>
        <v>45996382</v>
      </c>
      <c r="H6" s="115">
        <v>40621280.181144893</v>
      </c>
      <c r="I6" s="116">
        <v>49374183.723882489</v>
      </c>
      <c r="J6" s="121">
        <f>SUM('Pt 1 Summary of Data'!K$12,'Pt 1 Summary of Data'!K$22)+SUM('Pt 1 Summary of Data'!M$12,'Pt 1 Summary of Data'!M$22)-SUM('Pt 1 Summary of Data'!N$12,'Pt 1 Summary of Data'!N$22)</f>
        <v>68314292.897282958</v>
      </c>
      <c r="K6" s="121">
        <f>SUM(H6:J6)</f>
        <v>158309756.80231035</v>
      </c>
      <c r="L6" s="122">
        <f>SUM('Pt 1 Summary of Data'!O$12,'Pt 1 Summary of Data'!O$22)</f>
        <v>0</v>
      </c>
      <c r="M6" s="115">
        <v>20730149.918855116</v>
      </c>
      <c r="N6" s="116">
        <v>21825504.385117523</v>
      </c>
      <c r="O6" s="121">
        <f>SUM('Pt 1 Summary of Data'!Q$12,'Pt 1 Summary of Data'!Q$22)+SUM('Pt 1 Summary of Data'!S$12,'Pt 1 Summary of Data'!S$22)-SUM('Pt 1 Summary of Data'!T$12,'Pt 1 Summary of Data'!T$22)</f>
        <v>20817284.571017049</v>
      </c>
      <c r="P6" s="121">
        <f>SUM(M6:O6)</f>
        <v>63372938.874989688</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806435.87</v>
      </c>
      <c r="D7" s="116">
        <v>840898.54</v>
      </c>
      <c r="E7" s="121">
        <f>SUM('Pt 1 Summary of Data'!E$37:E$41)+SUM('Pt 1 Summary of Data'!G$37:G$41)-SUM('Pt 1 Summary of Data'!H$37:H$41)+MAX(0,MIN('Pt 1 Summary of Data'!E$42+'Pt 1 Summary of Data'!G$42-'Pt 1 Summary of Data'!H$42,0.3%*('Pt 1 Summary of Data'!E$5+'Pt 1 Summary of Data'!G$5-'Pt 1 Summary of Data'!H$5-SUM(E$9:E$11))))</f>
        <v>859895.89</v>
      </c>
      <c r="F7" s="121">
        <f>SUM(C7:E7)</f>
        <v>2507230.3000000003</v>
      </c>
      <c r="G7" s="122">
        <f>SUM('Pt 1 Summary of Data'!I$37:I$41)+MAX(0,MIN('Pt 1 Summary of Data'!I$42,0.3%*('Pt 1 Summary of Data'!I$5-SUM(G$9:G$10))))</f>
        <v>220583</v>
      </c>
      <c r="H7" s="115">
        <v>1279566.69</v>
      </c>
      <c r="I7" s="116">
        <v>1417082.3200000005</v>
      </c>
      <c r="J7" s="121">
        <f>SUM('Pt 1 Summary of Data'!K$37:K$41)+SUM('Pt 1 Summary of Data'!M$37:M$41)-SUM('Pt 1 Summary of Data'!N$37:N$41)+MAX(0,MIN('Pt 1 Summary of Data'!K$42+'Pt 1 Summary of Data'!M$42-'Pt 1 Summary of Data'!N$42,0.3%*('Pt 1 Summary of Data'!K$5+'Pt 1 Summary of Data'!M$5-'Pt 1 Summary of Data'!N$5-SUM(J$10:J$11))))</f>
        <v>1725991.4699999997</v>
      </c>
      <c r="K7" s="121">
        <f>SUM(H7:J7)</f>
        <v>4422640.4800000004</v>
      </c>
      <c r="L7" s="122">
        <f>SUM('Pt 1 Summary of Data'!O$37:O$41)+MAX(0,MIN('Pt 1 Summary of Data'!O$42,0.3%*('Pt 1 Summary of Data'!O$5-L$10)))</f>
        <v>0</v>
      </c>
      <c r="M7" s="115">
        <v>615529.64999999991</v>
      </c>
      <c r="N7" s="116">
        <v>564752.11</v>
      </c>
      <c r="O7" s="121">
        <f>SUM('Pt 1 Summary of Data'!Q$37:Q$41)+SUM('Pt 1 Summary of Data'!S$37:S$41)-SUM('Pt 1 Summary of Data'!T$37:T$41)+MAX(0,MIN('Pt 1 Summary of Data'!Q$42+'Pt 1 Summary of Data'!S$42-'Pt 1 Summary of Data'!T$42,0.3%*('Pt 1 Summary of Data'!Q$5+'Pt 1 Summary of Data'!S$5-'Pt 1 Summary of Data'!T$5)))</f>
        <v>516737.12000000005</v>
      </c>
      <c r="P7" s="121">
        <f>SUM(M7:O7)</f>
        <v>1697018.8799999999</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v>2918163.65</v>
      </c>
      <c r="F8" s="275">
        <f>SUM(C8:E8)</f>
        <v>2918163.65</v>
      </c>
      <c r="G8" s="276">
        <v>2918164</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7489285.2700000005</v>
      </c>
      <c r="F9" s="121">
        <f>SUM(C9:E9)</f>
        <v>7489285.2700000005</v>
      </c>
      <c r="G9" s="122">
        <f>'Pt 2 Premium and Claims'!I$15</f>
        <v>7489285</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275162.36</v>
      </c>
      <c r="F10" s="121">
        <f>SUM(C10:E10)</f>
        <v>275162.36</v>
      </c>
      <c r="G10" s="122">
        <f>'Pt 2 Premium and Claims'!I$16</f>
        <v>275162</v>
      </c>
      <c r="H10" s="298"/>
      <c r="I10" s="294"/>
      <c r="J10" s="121">
        <f>'Pt 2 Premium and Claims'!K$16+'Pt 2 Premium and Claims'!M$16-'Pt 2 Premium and Claims'!N$16</f>
        <v>-1959826.68</v>
      </c>
      <c r="K10" s="121">
        <f>SUM(H10:J10)</f>
        <v>-1959826.68</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6302049</v>
      </c>
      <c r="F11" s="121">
        <f>SUM(C11:E11)</f>
        <v>6302049</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22293234.359999996</v>
      </c>
      <c r="D12" s="121">
        <f>SUM(D$6:D$7)+IF(AND(OR('Company Information'!$C$12="District of Columbia",'Company Information'!$C$12="Massachusetts",'Company Information'!$C$12="Vermont"),SUM($C$6:$F$11,$C$15:$F$16,$C$37:$D$37)&lt;&gt;0),SUM(I$6:I$7),0)</f>
        <v>28359071.648999996</v>
      </c>
      <c r="E12" s="121">
        <f>SUM(E$6:E$7)-SUM(E$8:E$11)+IF(AND(OR('Company Information'!$C$12="District of Columbia",'Company Information'!$C$12="Massachusetts",'Company Information'!$C$12="Vermont"),SUM($C$6:$F$11,$C$15:$F$16,$C$37:$D$37)&lt;&gt;0),SUM(J$6:J$7)-SUM(J$10:J$11),0)</f>
        <v>53549677.615000024</v>
      </c>
      <c r="F12" s="121">
        <f>IFERROR(SUM(C$12:E$12)+C$17*MAX(0,E$49-C$49)+D$17*MAX(0,E$49-D$49),0)</f>
        <v>104201983.62400001</v>
      </c>
      <c r="G12" s="317"/>
      <c r="H12" s="120">
        <f>SUM(H$6:H$7)+IF(AND(OR('Company Information'!$C$12="District of Columbia",'Company Information'!$C$12="Massachusetts",'Company Information'!$C$12="Vermont"),SUM($H$6:$K$11,$H$15:$K$16,$H$37:$I$37)&lt;&gt;0),SUM(C$6:C$7),0)</f>
        <v>41900846.871144891</v>
      </c>
      <c r="I12" s="121">
        <f>SUM(I$6:I$7)+IF(AND(OR('Company Information'!$C$12="District of Columbia",'Company Information'!$C$12="Massachusetts",'Company Information'!$C$12="Vermont"),SUM($H$6:$K$11,$H$15:$K$16,$H$37:$I$37)&lt;&gt;0),SUM(D$6:D$7),0)</f>
        <v>50791266.043882489</v>
      </c>
      <c r="J12" s="121">
        <f>SUM(J$6:J$7)-SUM(J$10:J$11)+IF(AND(OR('Company Information'!$C$12="District of Columbia",'Company Information'!$C$12="Massachusetts",'Company Information'!$C$12="Vermont"),SUM($H$6:$K$11,$H$15:$K$16,$H$37:$I$37)&lt;&gt;0),SUM(E$6:E$7)-SUM(E$8:E$11),0)</f>
        <v>72000111.047282964</v>
      </c>
      <c r="K12" s="121">
        <f>IFERROR(SUM(H$12:J$12)+H$17*MAX(0,J$49-H$49)+I$17*MAX(0,J$49-I$49),0)</f>
        <v>164692223.96231034</v>
      </c>
      <c r="L12" s="317"/>
      <c r="M12" s="120">
        <f>SUM(M$6:M$7)</f>
        <v>21345679.568855114</v>
      </c>
      <c r="N12" s="121">
        <f>SUM(N$6:N$7)</f>
        <v>22390256.495117523</v>
      </c>
      <c r="O12" s="121">
        <f>SUM(O$6:O$7)</f>
        <v>21334021.69101705</v>
      </c>
      <c r="P12" s="121">
        <f>SUM(M$12:O$12)+M$17*MAX(0,O$49-M$49)+N$17*MAX(0,O$49-N$49)</f>
        <v>65069957.754989684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32904515.379999999</v>
      </c>
      <c r="D15" s="124">
        <v>37653267.491923615</v>
      </c>
      <c r="E15" s="112">
        <f>SUM('Pt 1 Summary of Data'!E$5:E$7)+SUM('Pt 1 Summary of Data'!G$5:G$7)-SUM('Pt 1 Summary of Data'!H$5:H$7)-SUM(E$9:E$11)+D$55</f>
        <v>65731060.674199082</v>
      </c>
      <c r="F15" s="112">
        <f>SUM(C15:E15)</f>
        <v>136288843.5461227</v>
      </c>
      <c r="G15" s="113">
        <f>SUM('Pt 1 Summary of Data'!I$5:I$7)-SUM(G$9:G$10)</f>
        <v>32618727</v>
      </c>
      <c r="H15" s="123">
        <v>59132531.730000004</v>
      </c>
      <c r="I15" s="124">
        <v>72291470.871225715</v>
      </c>
      <c r="J15" s="112">
        <f>SUM('Pt 1 Summary of Data'!K$5:K$7)+SUM('Pt 1 Summary of Data'!M$5:M$7)-SUM('Pt 1 Summary of Data'!N$5:N$7)-SUM(J$10:J$11)+I$55</f>
        <v>90869547.033023015</v>
      </c>
      <c r="K15" s="112">
        <f>SUM(H15:J15)</f>
        <v>222293549.63424873</v>
      </c>
      <c r="L15" s="113">
        <f>SUM('Pt 1 Summary of Data'!O$5:O$7)-L$10</f>
        <v>0</v>
      </c>
      <c r="M15" s="123">
        <v>24996772.120000001</v>
      </c>
      <c r="N15" s="124">
        <v>22361874.648696639</v>
      </c>
      <c r="O15" s="112">
        <f>SUM('Pt 1 Summary of Data'!Q$5:Q$7)+SUM('Pt 1 Summary of Data'!S$5:S$7)-SUM('Pt 1 Summary of Data'!T$5:T$7)+N$55</f>
        <v>24219236.093144163</v>
      </c>
      <c r="P15" s="112">
        <f>SUM(M15:O15)</f>
        <v>71577882.861840799</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1790366</v>
      </c>
      <c r="D16" s="116">
        <v>1712614.6487161678</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5175519.644163833</v>
      </c>
      <c r="F16" s="121">
        <f>SUM(C16:E16)</f>
        <v>8678500.2928800005</v>
      </c>
      <c r="G16" s="122">
        <f>SUM('Pt 1 Summary of Data'!I$25:I$28,'Pt 1 Summary of Data'!I$30,'Pt 1 Summary of Data'!I$34:I$35)+IF('Company Information'!$C$15="No",IF(MAX('Pt 1 Summary of Data'!I$31:I$32)=0,MIN('Pt 1 Summary of Data'!I$31:I$32),MAX('Pt 1 Summary of Data'!I$31:I$32)),SUM('Pt 1 Summary of Data'!I$31:I$32))</f>
        <v>2691743</v>
      </c>
      <c r="H16" s="115">
        <v>3601024.39</v>
      </c>
      <c r="I16" s="116">
        <v>5140416.7365233889</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6664558.306451004</v>
      </c>
      <c r="K16" s="121">
        <f>SUM(H16:J16)</f>
        <v>15405999.432974393</v>
      </c>
      <c r="L16" s="122">
        <f>SUM('Pt 1 Summary of Data'!O$25:O$28,'Pt 1 Summary of Data'!O$30,'Pt 1 Summary of Data'!O$34:O$35)+IF('Company Information'!$C$15="No",IF(MAX('Pt 1 Summary of Data'!O$31:O$32)=0,MIN('Pt 1 Summary of Data'!O$31:O$32),MAX('Pt 1 Summary of Data'!O$31:O$32)),SUM('Pt 1 Summary of Data'!O$31:O$32))</f>
        <v>0</v>
      </c>
      <c r="M16" s="115">
        <v>-147111.68999999997</v>
      </c>
      <c r="N16" s="116">
        <v>-1204328.9836096959</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1349043.7435487078</v>
      </c>
      <c r="P16" s="121">
        <f>SUM(M16:O16)</f>
        <v>-2396.9300609880593</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31114149.379999999</v>
      </c>
      <c r="D17" s="121">
        <f>D$15-D$16+IF(AND(OR('Company Information'!$C$12="District of Columbia",'Company Information'!$C$12="Massachusetts",'Company Information'!$C$12="Vermont"),SUM($C$6:$F$11,$C$15:$F$16,$C$37:$D$37)&lt;&gt;0),I$15-I$16,0)</f>
        <v>35940652.843207449</v>
      </c>
      <c r="E17" s="121">
        <f>E$15-E$16+IF(AND(OR('Company Information'!$C$12="District of Columbia",'Company Information'!$C$12="Massachusetts",'Company Information'!$C$12="Vermont"),SUM($C$6:$F$11,$C$15:$F$16,$C$37:$D$37)&lt;&gt;0),J$15-J$16,0)</f>
        <v>60555541.03003525</v>
      </c>
      <c r="F17" s="121">
        <f>F$15-F$16+IF(AND(OR('Company Information'!$C$12="District of Columbia",'Company Information'!$C$12="Massachusetts",'Company Information'!$C$12="Vermont"),SUM($C$6:$F$11,$C$15:$F$16,$C$37:$D$37)&lt;&gt;0),K$15-K$16,0)</f>
        <v>127610343.2532427</v>
      </c>
      <c r="G17" s="320"/>
      <c r="H17" s="120">
        <f>H$15-H$16+IF(AND(OR('Company Information'!$C$12="District of Columbia",'Company Information'!$C$12="Massachusetts",'Company Information'!$C$12="Vermont"),SUM($H$6:$K$11,$H$15:$K$16,$H$37:$I$37)&lt;&gt;0),C$15-C$16,0)</f>
        <v>55531507.340000004</v>
      </c>
      <c r="I17" s="121">
        <f>I$15-I$16+IF(AND(OR('Company Information'!$C$12="District of Columbia",'Company Information'!$C$12="Massachusetts",'Company Information'!$C$12="Vermont"),SUM($H$6:$K$11,$H$15:$K$16,$H$37:$I$37)&lt;&gt;0),D$15-D$16,0)</f>
        <v>67151054.134702325</v>
      </c>
      <c r="J17" s="121">
        <f>J$15-J$16+IF(AND(OR('Company Information'!$C$12="District of Columbia",'Company Information'!$C$12="Massachusetts",'Company Information'!$C$12="Vermont"),SUM($H$6:$K$11,$H$15:$K$16,$H$37:$I$37)&lt;&gt;0),E$15-E$16,0)</f>
        <v>84204988.726572007</v>
      </c>
      <c r="K17" s="121">
        <f>K$15-K$16+IF(AND(OR('Company Information'!$C$12="District of Columbia",'Company Information'!$C$12="Massachusetts",'Company Information'!$C$12="Vermont"),SUM($H$6:$K$11,$H$15:$K$16,$H$37:$I$37)&lt;&gt;0),F$15-F$16,0)</f>
        <v>206887550.20127434</v>
      </c>
      <c r="L17" s="320"/>
      <c r="M17" s="120">
        <f>M$15-M$16</f>
        <v>25143883.810000002</v>
      </c>
      <c r="N17" s="121">
        <f>N$15-N$16</f>
        <v>23566203.632306334</v>
      </c>
      <c r="O17" s="121">
        <f>O$15-O$16</f>
        <v>22870192.349595457</v>
      </c>
      <c r="P17" s="121">
        <f>P$15-P$16</f>
        <v>71580279.791901782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35534354</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5445289</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1.1873683629462963</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5.2200000000000003E-2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2459998.0847999998</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-11052659</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2459998.0847999998</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10239328.364800002</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10597030.084799999</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10239328.364800002</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8677139.8000000007</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22379398.635199998</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8677139.8000000007</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23941587.199999999</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1.4842104536828704</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8340492</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6302049</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15699</v>
      </c>
      <c r="D37" s="128">
        <v>17972</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24821.083333333332</v>
      </c>
      <c r="F37" s="262">
        <f>SUM(C$37:E$37)+IF(AND(OR('Company Information'!$C$12="District of Columbia",'Company Information'!$C$12="Massachusetts",'Company Information'!$C$12="Vermont"),SUM($C$6:$F$11,$C$15:$F$16,$C$37:$D$37)&lt;&gt;0,SUM(C$37:D$37)&lt;&gt;SUM(H$37:I$37)),SUM(H$37:I$37),0)</f>
        <v>58492.083333333328</v>
      </c>
      <c r="G37" s="318"/>
      <c r="H37" s="127">
        <v>13373.75</v>
      </c>
      <c r="I37" s="128">
        <v>16681</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21470.666666666668</v>
      </c>
      <c r="K37" s="262">
        <f>SUM(H$37:J$37)+IF(AND(OR('Company Information'!$C$12="District of Columbia",'Company Information'!$C$12="Massachusetts",'Company Information'!$C$12="Vermont"),SUM($H$6:$K$11,$H$15:$K$16,$H$37:$I$37)&lt;&gt;0,SUM(H$37:I$37)&lt;&gt;SUM(C$37:D$37)),SUM(C$37:D$37),0)</f>
        <v>51525.416666666672</v>
      </c>
      <c r="L37" s="318"/>
      <c r="M37" s="127">
        <v>6615.75</v>
      </c>
      <c r="N37" s="128">
        <v>5652</v>
      </c>
      <c r="O37" s="262">
        <f>('Pt 1 Summary of Data'!Q$59+'Pt 1 Summary of Data'!S$59-'Pt 1 Summary of Data'!T$59)/12</f>
        <v>5860.666666666667</v>
      </c>
      <c r="P37" s="262">
        <f>SUM(M$37:O$37)</f>
        <v>18128.416666666668</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7.9238000000000017E-3</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1.1267799999999998E-2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2.0581055555555554E-2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4284.6285701084989</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1.333896639874329</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1.056953019503621E-2</v>
      </c>
      <c r="G41" s="317"/>
      <c r="H41" s="298"/>
      <c r="I41" s="294"/>
      <c r="J41" s="294"/>
      <c r="K41" s="266">
        <f ca="1">IF(OR(K$37&lt;1000,K$37&gt;=75000),0,K$38*K$40)</f>
        <v>1.1267799999999998E-2</v>
      </c>
      <c r="L41" s="317"/>
      <c r="M41" s="298"/>
      <c r="N41" s="294"/>
      <c r="O41" s="294"/>
      <c r="P41" s="266">
        <f ca="1">IF(OR(P$37&lt;1000,P$37&gt;=75000),0,P$38*P$40)</f>
        <v>2.0581055555555554E-2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0.7164982750365646</v>
      </c>
      <c r="D44" s="266">
        <f>IF(OR(D$37&lt;1000,D$17&lt;=0),"",D$12/D$17)</f>
        <v>0.78905276909458466</v>
      </c>
      <c r="E44" s="266">
        <f>IF(OR(E$37&lt;1000,E$17&lt;=0),"",E$12/E$17)</f>
        <v>0.88430681493605434</v>
      </c>
      <c r="F44" s="266">
        <f>IF(OR(F$37&lt;1000,F$17&lt;=0),"",F$12/F$17)</f>
        <v>0.81656377506336764</v>
      </c>
      <c r="G44" s="317"/>
      <c r="H44" s="268">
        <f>IF(OR(H$37&lt;1000,H$17&lt;=0),"",H$12/H$17)</f>
        <v>0.75454186061618422</v>
      </c>
      <c r="I44" s="266">
        <f>IF(OR(I$37&lt;1000,I$17&lt;=0),"",I$12/I$17)</f>
        <v>0.75637332426676795</v>
      </c>
      <c r="J44" s="266">
        <f>IF(OR(J$37&lt;1000,J$17&lt;=0),"",J$12/J$17)</f>
        <v>0.85505754630618902</v>
      </c>
      <c r="K44" s="266">
        <f>IF(OR(K$37&lt;1000,K$17&lt;=0),"",K$12/K$17)</f>
        <v>0.79604704972380647</v>
      </c>
      <c r="L44" s="317"/>
      <c r="M44" s="268">
        <f>IF(OR(M$37&lt;1000,M$17&lt;=0),"",M$12/M$17)</f>
        <v>0.84894122682692719</v>
      </c>
      <c r="N44" s="266">
        <f>IF(OR(N$37&lt;1000,N$17&lt;=0),"",N$12/N$17)</f>
        <v>0.95010027259644259</v>
      </c>
      <c r="O44" s="266">
        <f>IF(OR(O$37&lt;1000,O$17&lt;=0),"",O$12/O$17)</f>
        <v>0.93283088156424798</v>
      </c>
      <c r="P44" s="266">
        <f>IF(OR(P$37&lt;1000,P$17&lt;=0),"",P$12/P$17)</f>
        <v>0.90904866457858358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1.056953019503621E-2</v>
      </c>
      <c r="G46" s="317"/>
      <c r="H46" s="298"/>
      <c r="I46" s="294"/>
      <c r="J46" s="294"/>
      <c r="K46" s="266">
        <f ca="1">IF(K$44="","",K$41)</f>
        <v>1.1267799999999998E-2</v>
      </c>
      <c r="L46" s="317"/>
      <c r="M46" s="298"/>
      <c r="N46" s="294"/>
      <c r="O46" s="294"/>
      <c r="P46" s="266">
        <f ca="1">IF(P$44="","",P$41)</f>
        <v>2.0581055555555554E-2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0.82699999999999996</v>
      </c>
      <c r="G47" s="317"/>
      <c r="H47" s="298"/>
      <c r="I47" s="294"/>
      <c r="J47" s="294"/>
      <c r="K47" s="266">
        <f ca="1">IF(K$44="","",ROUND(K$44+MAX(0,K$46),3))</f>
        <v>0.80700000000000005</v>
      </c>
      <c r="L47" s="317"/>
      <c r="M47" s="298"/>
      <c r="N47" s="294"/>
      <c r="O47" s="294"/>
      <c r="P47" s="266">
        <f ca="1">IF(P$44="","",ROUND(P$44+MAX(0,P$46),3))</f>
        <v>0.93</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2059</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0.82699999999999996</v>
      </c>
      <c r="G50" s="317"/>
      <c r="H50" s="299"/>
      <c r="I50" s="295"/>
      <c r="J50" s="295"/>
      <c r="K50" s="266">
        <f ca="1">K$47</f>
        <v>0.80700000000000005</v>
      </c>
      <c r="L50" s="317"/>
      <c r="M50" s="299"/>
      <c r="N50" s="295"/>
      <c r="O50" s="295"/>
      <c r="P50" s="266">
        <f ca="1">P$47</f>
        <v>0.93</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60555541.03003525</v>
      </c>
      <c r="G51" s="317"/>
      <c r="H51" s="298"/>
      <c r="I51" s="294"/>
      <c r="J51" s="294"/>
      <c r="K51" s="121">
        <f>IF(K$37&lt;1000,"",MAX(0,J$15-J$16))</f>
        <v>84204988.726572007</v>
      </c>
      <c r="L51" s="317"/>
      <c r="M51" s="298"/>
      <c r="N51" s="294"/>
      <c r="O51" s="294"/>
      <c r="P51" s="121">
        <f>IF(P$37&lt;1000,"",MAX(0,O$15-O$16))</f>
        <v>22870192.349595457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 ca="1">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253250.55807638136</v>
      </c>
      <c r="E55" s="294"/>
      <c r="F55" s="294"/>
      <c r="G55" s="317"/>
      <c r="H55" s="298"/>
      <c r="I55" s="116">
        <v>472832.4428269621</v>
      </c>
      <c r="J55" s="294"/>
      <c r="K55" s="294"/>
      <c r="L55" s="317"/>
      <c r="M55" s="298"/>
      <c r="N55" s="116">
        <v>96406.044619419714</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11494.351283832124</v>
      </c>
      <c r="E56" s="294"/>
      <c r="F56" s="294"/>
      <c r="G56" s="317"/>
      <c r="H56" s="298"/>
      <c r="I56" s="116">
        <v>33549.231701433033</v>
      </c>
      <c r="J56" s="294"/>
      <c r="K56" s="294"/>
      <c r="L56" s="317"/>
      <c r="M56" s="298"/>
      <c r="N56" s="116">
        <v>-5180.2113915768768</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15596</v>
      </c>
      <c r="D4" s="155">
        <f>'Pt 1 Summary of Data'!$K$56+'Pt 1 Summary of Data'!$M$56-'Pt 1 Summary of Data'!$N$56</f>
        <v>15185</v>
      </c>
      <c r="E4" s="155">
        <f>'Pt 1 Summary of Data'!$Q$56+'Pt 1 Summary of Data'!$S$56-'Pt 1 Summary of Data'!$T$56</f>
        <v>3967</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251584.56990245238</v>
      </c>
      <c r="D16" s="125">
        <v>1947380.5699063691</v>
      </c>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v>1</v>
      </c>
      <c r="E18" s="145"/>
      <c r="F18" s="145"/>
      <c r="G18" s="145"/>
      <c r="H18" s="145"/>
      <c r="I18" s="359"/>
      <c r="J18" s="359"/>
      <c r="K18" s="373"/>
    </row>
    <row r="19" spans="2:12" ht="25.5" x14ac:dyDescent="0.2">
      <c r="B19" s="161" t="s">
        <v>208</v>
      </c>
      <c r="C19" s="357"/>
      <c r="D19" s="145">
        <v>1</v>
      </c>
      <c r="E19" s="145"/>
      <c r="F19" s="376"/>
      <c r="G19" s="145"/>
      <c r="H19" s="145"/>
      <c r="I19" s="359"/>
      <c r="J19" s="359"/>
      <c r="K19" s="377"/>
    </row>
    <row r="20" spans="2:12" ht="25.5" x14ac:dyDescent="0.2">
      <c r="B20" s="161" t="s">
        <v>209</v>
      </c>
      <c r="C20" s="375">
        <v>1</v>
      </c>
      <c r="D20" s="145">
        <v>1</v>
      </c>
      <c r="E20" s="145"/>
      <c r="F20" s="145"/>
      <c r="G20" s="145"/>
      <c r="H20" s="145"/>
      <c r="I20" s="359"/>
      <c r="J20" s="359"/>
      <c r="K20" s="373"/>
    </row>
    <row r="21" spans="2:12" ht="25.5" x14ac:dyDescent="0.2">
      <c r="B21" s="161" t="s">
        <v>210</v>
      </c>
      <c r="C21" s="357"/>
      <c r="D21" s="145">
        <v>1</v>
      </c>
      <c r="E21" s="145"/>
      <c r="F21" s="376"/>
      <c r="G21" s="145"/>
      <c r="H21" s="145"/>
      <c r="I21" s="359"/>
      <c r="J21" s="359"/>
      <c r="K21" s="377"/>
    </row>
    <row r="22" spans="2:12" s="11" customFormat="1" x14ac:dyDescent="0.2">
      <c r="B22" s="217" t="s">
        <v>211</v>
      </c>
      <c r="C22" s="192">
        <v>32520.129999999979</v>
      </c>
      <c r="D22" s="218">
        <v>43665.249999999993</v>
      </c>
      <c r="E22" s="218"/>
      <c r="F22" s="218"/>
      <c r="G22" s="218"/>
      <c r="H22" s="218"/>
      <c r="I22" s="365"/>
      <c r="J22" s="365"/>
      <c r="K22" s="374"/>
    </row>
    <row r="23" spans="2:12" s="11" customFormat="1" ht="100.15" customHeight="1" x14ac:dyDescent="0.2">
      <c r="B23" s="108" t="s">
        <v>212</v>
      </c>
      <c r="C23" s="6" t="s">
        <v>506</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