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X47" i="10"/>
  <c r="X50" i="10" s="1"/>
  <c r="T47" i="10"/>
  <c r="T50" i="10" s="1"/>
  <c r="P47" i="10"/>
  <c r="AB46" i="10"/>
  <c r="T46" i="10"/>
  <c r="P46" i="10"/>
  <c r="AB45" i="10"/>
  <c r="AA45" i="10"/>
  <c r="Z45" i="10"/>
  <c r="Y45" i="10"/>
  <c r="X45" i="10"/>
  <c r="X46" i="10" s="1"/>
  <c r="W45" i="10"/>
  <c r="V45" i="10"/>
  <c r="U45" i="10"/>
  <c r="T45" i="10"/>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V13" i="10" s="1"/>
  <c r="W15" i="10"/>
  <c r="T15" i="10"/>
  <c r="S15" i="10"/>
  <c r="P15" i="10"/>
  <c r="O15" i="10"/>
  <c r="L15" i="10"/>
  <c r="AA13" i="10"/>
  <c r="Z13" i="10"/>
  <c r="Y13" i="10"/>
  <c r="W13" i="10"/>
  <c r="Q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W55" i="18"/>
  <c r="W22" i="4" s="1"/>
  <c r="V55" i="18"/>
  <c r="V22" i="4" s="1"/>
  <c r="U55" i="18"/>
  <c r="U22" i="4" s="1"/>
  <c r="T55" i="18"/>
  <c r="T22" i="4" s="1"/>
  <c r="S55" i="18"/>
  <c r="S22" i="4" s="1"/>
  <c r="R55" i="18"/>
  <c r="R22" i="4" s="1"/>
  <c r="Q55" i="18"/>
  <c r="Q22" i="4" s="1"/>
  <c r="P55" i="18"/>
  <c r="P22" i="4" s="1"/>
  <c r="O55" i="18"/>
  <c r="O22" i="4" s="1"/>
  <c r="N55" i="18"/>
  <c r="N22" i="4" s="1"/>
  <c r="M55" i="18"/>
  <c r="M22" i="4" s="1"/>
  <c r="L55" i="18"/>
  <c r="K55" i="18"/>
  <c r="J55" i="18"/>
  <c r="J22" i="4" s="1"/>
  <c r="I55" i="18"/>
  <c r="I22" i="4" s="1"/>
  <c r="H55" i="18"/>
  <c r="H22" i="4" s="1"/>
  <c r="G55" i="18"/>
  <c r="F55" i="18"/>
  <c r="F22" i="4" s="1"/>
  <c r="E55" i="18"/>
  <c r="E22" i="4" s="1"/>
  <c r="D55" i="18"/>
  <c r="D22" i="4" s="1"/>
  <c r="AU54" i="18"/>
  <c r="AU12" i="4" s="1"/>
  <c r="AT54" i="18"/>
  <c r="AT12" i="4" s="1"/>
  <c r="AS54" i="18"/>
  <c r="AS12" i="4" s="1"/>
  <c r="AC54" i="18"/>
  <c r="AC12" i="4" s="1"/>
  <c r="AB54" i="18"/>
  <c r="AA54" i="18"/>
  <c r="Z54" i="18"/>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K54" i="18"/>
  <c r="K12" i="4" s="1"/>
  <c r="J54" i="18"/>
  <c r="I54" i="18"/>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L22" i="4"/>
  <c r="K22" i="4"/>
  <c r="G22" i="4"/>
  <c r="AB12" i="4"/>
  <c r="AA12" i="4"/>
  <c r="Z12" i="4"/>
  <c r="L12" i="4"/>
  <c r="J12" i="4"/>
  <c r="I12" i="4"/>
  <c r="H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c r="J7" i="10"/>
  <c r="G7" i="10"/>
  <c r="G28" i="10" s="1"/>
  <c r="T38" i="10"/>
  <c r="X38" i="10"/>
  <c r="L23" i="10"/>
  <c r="L27" i="10" s="1"/>
  <c r="L31" i="10" s="1"/>
  <c r="L32" i="10" s="1"/>
  <c r="L33" i="10" s="1"/>
  <c r="T13" i="10"/>
  <c r="X13" i="10"/>
  <c r="U13" i="10"/>
  <c r="S13" i="10"/>
  <c r="R13" i="10"/>
  <c r="E7" i="10"/>
  <c r="L26" i="10" l="1"/>
  <c r="L30" i="10" s="1"/>
  <c r="G25" i="10"/>
  <c r="K7" i="10"/>
  <c r="H12" i="10" s="1"/>
  <c r="I17" i="10"/>
  <c r="J17" i="10"/>
  <c r="F7" i="10"/>
  <c r="E37" i="10" s="1"/>
  <c r="G19" i="10"/>
  <c r="G20" i="10"/>
  <c r="G29" i="10"/>
  <c r="K17" i="10"/>
  <c r="H17" i="10" l="1"/>
  <c r="I12" i="10"/>
  <c r="J12" i="10"/>
  <c r="J37" i="10"/>
  <c r="J44" i="10" s="1"/>
  <c r="D17" i="10"/>
  <c r="F17" i="10"/>
  <c r="C12" i="10"/>
  <c r="H44" i="10"/>
  <c r="E17" i="10"/>
  <c r="E44" i="10" s="1"/>
  <c r="D12" i="10"/>
  <c r="I44" i="10"/>
  <c r="E12" i="10"/>
  <c r="G21" i="10"/>
  <c r="G24" i="10"/>
  <c r="G23" i="10" s="1"/>
  <c r="G27" i="10" s="1"/>
  <c r="D44" i="10"/>
  <c r="K12" i="10"/>
  <c r="F37" i="10"/>
  <c r="C17" i="10"/>
  <c r="K37" i="10" l="1"/>
  <c r="K38" i="10" s="1"/>
  <c r="C44" i="10"/>
  <c r="G31" i="10"/>
  <c r="G32" i="10" s="1"/>
  <c r="G33" i="10" s="1"/>
  <c r="G26" i="10"/>
  <c r="G30" i="10" s="1"/>
  <c r="F12" i="10"/>
  <c r="F44" i="10" s="1"/>
  <c r="F51" i="10"/>
  <c r="F41" i="10"/>
  <c r="F38" i="10"/>
  <c r="K51" i="10"/>
  <c r="K44" i="10"/>
  <c r="K41" i="10"/>
  <c r="K46" i="10" l="1"/>
  <c r="K47" i="10" s="1"/>
  <c r="K50" i="10" s="1"/>
  <c r="K52" i="10" s="1"/>
  <c r="D11" i="16" s="1"/>
  <c r="F46" i="10"/>
  <c r="F47" i="10"/>
  <c r="F50" i="10" s="1"/>
  <c r="F52" i="10" s="1"/>
  <c r="C11" i="16" s="1"/>
</calcChain>
</file>

<file path=xl/sharedStrings.xml><?xml version="1.0" encoding="utf-8"?>
<sst xmlns="http://schemas.openxmlformats.org/spreadsheetml/2006/main" count="574" uniqueCount="513">
  <si>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</si>
  <si>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</si>
  <si>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</si>
  <si>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</si>
  <si>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</si>
  <si>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</si>
  <si>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</si>
  <si>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</si>
  <si>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</si>
  <si>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</si>
  <si>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</si>
  <si>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</si>
  <si>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</si>
  <si>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</si>
  <si>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</si>
  <si>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</si>
  <si>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</si>
  <si>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</si>
  <si>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</si>
  <si>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</si>
  <si>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</si>
  <si>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</si>
  <si>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</si>
  <si>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</si>
  <si>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</si>
  <si>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</si>
  <si>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</si>
  <si>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</si>
  <si>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</si>
  <si>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</si>
  <si>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</si>
  <si>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</si>
  <si>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</si>
  <si>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</si>
  <si>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</si>
  <si>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</si>
  <si>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</si>
  <si>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</si>
  <si>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</si>
  <si>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</si>
  <si>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</si>
  <si>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</si>
  <si>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</si>
  <si>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</si>
  <si>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</si>
  <si>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</si>
  <si>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</si>
  <si>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</si>
  <si>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</si>
  <si>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</si>
  <si>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</si>
  <si>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</si>
  <si>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</si>
  <si>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</si>
  <si>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</si>
  <si>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</si>
  <si>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</si>
  <si>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</si>
  <si>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</si>
  <si>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</si>
  <si>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</si>
  <si>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</si>
  <si>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</si>
  <si>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</si>
  <si>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</si>
  <si>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</si>
  <si>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</si>
  <si>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</si>
  <si>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</si>
  <si>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</si>
  <si>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</si>
  <si>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</si>
  <si>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</si>
  <si>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</si>
  <si>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</si>
  <si>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</si>
  <si>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</si>
  <si>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</si>
  <si>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</si>
  <si>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</si>
  <si>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</si>
  <si>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</si>
  <si>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</si>
  <si>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</si>
  <si>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</si>
  <si>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</si>
  <si>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</si>
  <si>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</si>
  <si>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</si>
  <si>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</si>
  <si>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</si>
  <si>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</si>
  <si>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</si>
  <si>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</si>
  <si>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</si>
  <si>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</si>
  <si>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</si>
  <si>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</si>
  <si>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</si>
  <si>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</si>
  <si>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</si>
  <si>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</si>
  <si>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</si>
  <si>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</si>
  <si>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</si>
  <si>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</si>
  <si>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</si>
  <si>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</si>
  <si>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</si>
  <si>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</si>
  <si>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</si>
  <si>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</si>
  <si>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</si>
  <si>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</si>
  <si>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</si>
  <si>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</si>
  <si>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</si>
  <si>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</si>
  <si>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</si>
  <si>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</si>
  <si>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</si>
  <si>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</si>
  <si>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</si>
  <si>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</si>
  <si>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</si>
  <si>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</si>
  <si>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</si>
  <si>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</si>
  <si>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</si>
  <si>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</si>
  <si>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</si>
  <si>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</si>
  <si>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</si>
  <si>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</si>
  <si>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</si>
  <si>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</si>
  <si>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</si>
  <si>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</si>
  <si>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</si>
  <si>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</si>
  <si>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</si>
  <si>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</si>
  <si>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</si>
  <si>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</si>
  <si>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</si>
  <si>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</si>
  <si>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</si>
  <si>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</si>
  <si>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</si>
  <si>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</si>
  <si>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</si>
  <si>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</si>
  <si>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</si>
  <si>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</si>
  <si>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</si>
  <si>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</si>
  <si>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</si>
  <si>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</si>
  <si>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</si>
  <si>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</si>
  <si>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</si>
  <si>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</si>
  <si>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</si>
  <si>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</si>
  <si>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</si>
  <si>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</si>
  <si>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</si>
  <si>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</si>
  <si>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</si>
  <si>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</si>
  <si>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</si>
  <si>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</si>
  <si>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</si>
  <si>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</si>
  <si>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</si>
  <si>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</si>
  <si>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</si>
  <si>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</si>
  <si>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</si>
  <si>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</si>
  <si>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</si>
  <si>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</si>
  <si>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</si>
  <si>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</si>
  <si>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</si>
  <si>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</si>
  <si>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</si>
  <si>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</si>
  <si>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</si>
  <si>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</si>
  <si>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</si>
  <si>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</si>
  <si>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</si>
  <si>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</si>
  <si>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</si>
  <si>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</si>
  <si>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</si>
  <si>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</si>
  <si>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</si>
  <si>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</si>
  <si>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</si>
  <si>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</si>
  <si>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</si>
  <si>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</si>
  <si>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</si>
  <si>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</si>
  <si>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</si>
  <si>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</si>
  <si>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</si>
  <si>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</si>
  <si>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</si>
  <si>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</si>
  <si>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</si>
  <si>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</si>
  <si>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</si>
  <si>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</si>
  <si>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</si>
  <si>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</si>
  <si>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</si>
  <si>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</si>
  <si>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</si>
  <si>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</si>
  <si>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</si>
  <si>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</si>
  <si>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</si>
  <si>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</si>
  <si>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</si>
  <si>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</si>
  <si>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</si>
  <si>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</si>
  <si>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</si>
  <si>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</si>
  <si>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</si>
  <si>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</si>
  <si>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</si>
  <si>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</si>
  <si>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</si>
  <si>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</si>
  <si>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</si>
  <si>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</si>
  <si>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</si>
  <si>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</si>
  <si>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</si>
  <si>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</si>
  <si>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</si>
  <si>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</si>
  <si>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</si>
  <si>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</si>
  <si>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</si>
  <si>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</si>
  <si>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</si>
  <si>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</si>
  <si>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</si>
  <si>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</si>
  <si>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</si>
  <si>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</si>
  <si>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</si>
  <si>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</si>
  <si>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</si>
  <si>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</si>
  <si>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</si>
  <si>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</si>
  <si>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</si>
  <si>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</si>
  <si>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</si>
  <si>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</si>
  <si>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</si>
  <si>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</si>
  <si>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</si>
  <si>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</si>
  <si>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</si>
  <si>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</si>
  <si>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</si>
  <si>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</si>
  <si>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</si>
  <si>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</si>
  <si>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</si>
  <si>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</si>
  <si>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</si>
  <si>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</si>
  <si>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</si>
  <si>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</si>
  <si>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</si>
  <si>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</si>
  <si>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</si>
  <si>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</si>
  <si>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</si>
  <si>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</si>
  <si>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</si>
  <si>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</si>
  <si>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</si>
  <si>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</si>
  <si>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</si>
  <si>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</si>
  <si>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</si>
  <si>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</si>
  <si>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</si>
  <si>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</si>
  <si>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</si>
  <si>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</si>
  <si>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</si>
  <si>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</si>
  <si>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</si>
  <si>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</si>
  <si>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</si>
  <si>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</si>
  <si>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</si>
  <si>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</si>
  <si>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</si>
  <si>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</si>
  <si>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</si>
  <si>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</si>
  <si>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</si>
  <si>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</si>
  <si>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</si>
  <si>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</si>
  <si>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</si>
  <si>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</si>
  <si>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</si>
  <si>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</si>
  <si>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</si>
  <si>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</si>
  <si>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</si>
  <si>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</si>
  <si>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</si>
  <si>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</si>
  <si>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</si>
  <si>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</si>
  <si>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</si>
  <si>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</si>
  <si>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</si>
  <si>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</si>
  <si>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</si>
  <si>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</si>
  <si>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</si>
  <si>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</si>
  <si>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</si>
  <si>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</si>
  <si>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</si>
  <si>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</si>
  <si>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</si>
  <si>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</si>
  <si>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</si>
  <si>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</si>
  <si>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</si>
  <si>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</si>
  <si>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</si>
  <si>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</si>
  <si>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</si>
  <si>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</si>
  <si>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</si>
  <si>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</si>
  <si>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</si>
  <si>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</si>
  <si>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</si>
  <si>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</si>
  <si>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</si>
  <si>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</si>
  <si>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</si>
  <si>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</si>
  <si>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</si>
  <si>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</si>
  <si>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</si>
  <si>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</si>
  <si>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</si>
  <si>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</si>
  <si>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</si>
  <si>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</si>
  <si>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</si>
  <si>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</si>
  <si>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</si>
  <si>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</si>
  <si>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</si>
  <si>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</si>
  <si>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</si>
  <si>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</si>
  <si>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</si>
  <si>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</si>
  <si>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</si>
  <si>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</si>
  <si>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</si>
  <si>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</si>
  <si>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</si>
  <si>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</si>
  <si>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</si>
  <si>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</si>
  <si>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</si>
  <si>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</si>
  <si>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</si>
  <si>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</si>
  <si>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</si>
  <si>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</si>
  <si>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</si>
  <si>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</si>
  <si>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</si>
  <si>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</si>
  <si>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</si>
  <si>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</si>
  <si>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</si>
  <si>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</si>
  <si>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</si>
  <si>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</si>
  <si>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</si>
  <si>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</si>
  <si>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</si>
  <si>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</si>
  <si>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</si>
  <si>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</si>
  <si>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</si>
  <si>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</si>
  <si>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</si>
  <si>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</si>
  <si>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</si>
  <si>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</si>
  <si>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</si>
  <si>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</si>
  <si>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</si>
  <si>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</si>
  <si>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</si>
  <si>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</si>
  <si>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</si>
  <si>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</si>
  <si>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</si>
  <si>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</si>
  <si>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</si>
  <si>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</si>
  <si>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</si>
  <si>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</si>
  <si>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</si>
  <si>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</si>
  <si>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</si>
  <si>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</si>
  <si>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</si>
  <si>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</si>
  <si>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</si>
  <si>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</si>
  <si>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</si>
  <si>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</si>
  <si>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</si>
  <si>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</si>
  <si>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</si>
  <si>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</si>
  <si>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</si>
  <si>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</si>
  <si>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</si>
  <si>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</si>
  <si>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</si>
  <si>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</si>
  <si>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</si>
  <si>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</si>
  <si>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</si>
  <si>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</si>
  <si>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</si>
  <si>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</si>
  <si>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</si>
  <si>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</si>
  <si>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</si>
  <si>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</si>
  <si>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</si>
  <si>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</si>
  <si>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</si>
  <si>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</si>
  <si>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</si>
  <si>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</si>
  <si>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</si>
  <si>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</si>
  <si>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</si>
  <si>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</si>
  <si>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</si>
  <si>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</si>
  <si>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</si>
  <si>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</si>
  <si>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</si>
  <si>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</si>
  <si>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</si>
  <si>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</si>
  <si>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</si>
  <si>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</si>
  <si>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</si>
  <si>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</si>
  <si>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</si>
  <si>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</si>
  <si>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</si>
  <si>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</si>
  <si>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</si>
  <si>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</si>
  <si>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</si>
  <si>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</si>
  <si>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</si>
  <si>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</si>
  <si>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</si>
  <si>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</si>
  <si>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</si>
  <si>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</si>
  <si>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</si>
  <si>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</si>
  <si>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</si>
  <si>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</si>
  <si>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</si>
  <si>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</si>
  <si>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</si>
  <si>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</si>
  <si>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</si>
  <si>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63141</t>
  </si>
  <si>
    <t>219</t>
  </si>
  <si>
    <t>Humana Employers Health Plan of Georgia, Inc.</t>
  </si>
  <si>
    <t>Humana Medical Plan, Inc.</t>
  </si>
  <si>
    <t>Humana Health Insurance Company of Florida,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</si>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</sst>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249413973</v>
      </c>
      <c r="E5" s="106">
        <f>SUM('Pt 2 Premium and Claims'!E$5,'Pt 2 Premium and Claims'!E$6,-'Pt 2 Premium and Claims'!E$7,-'Pt 2 Premium and Claims'!E$13,'Pt 2 Premium and Claims'!E$14:'Pt 2 Premium and Claims'!E$17)</f>
        <v>257397809.03685778</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81803948</v>
      </c>
      <c r="J5" s="105">
        <f>SUM('Pt 2 Premium and Claims'!J$5,'Pt 2 Premium and Claims'!J$6,-'Pt 2 Premium and Claims'!J$7,-'Pt 2 Premium and Claims'!J$13,'Pt 2 Premium and Claims'!J$14,'Pt 2 Premium and Claims'!J$16:'Pt 2 Premium and Claims'!J$17)</f>
        <v>279546948</v>
      </c>
      <c r="K5" s="106">
        <f>SUM('Pt 2 Premium and Claims'!K$5,'Pt 2 Premium and Claims'!K$6,-'Pt 2 Premium and Claims'!K$7,-'Pt 2 Premium and Claims'!K$13,'Pt 2 Premium and Claims'!K$14,'Pt 2 Premium and Claims'!K$16:'Pt 2 Premium and Claims'!K$17)</f>
        <v>171457074.24586445</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114891455</v>
      </c>
      <c r="Q5" s="106">
        <f>SUM('Pt 2 Premium and Claims'!Q$5,'Pt 2 Premium and Claims'!Q$6,-'Pt 2 Premium and Claims'!Q$7,-'Pt 2 Premium and Claims'!Q$13,'Pt 2 Premium and Claims'!Q$14)</f>
        <v>72011877.844330296</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2061139186</v>
      </c>
      <c r="AT5" s="107">
        <f>SUM('Pt 2 Premium and Claims'!AT$5,'Pt 2 Premium and Claims'!AT$6,-'Pt 2 Premium and Claims'!AT$7,-'Pt 2 Premium and Claims'!AT$13,'Pt 2 Premium and Claims'!AT$14)</f>
        <v>45200942</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-372006</v>
      </c>
      <c r="E7" s="110">
        <v>-367512.57255683449</v>
      </c>
      <c r="F7" s="110"/>
      <c r="G7" s="110"/>
      <c r="H7" s="110"/>
      <c r="I7" s="109"/>
      <c r="J7" s="109">
        <v>-521195.00000000006</v>
      </c>
      <c r="K7" s="110">
        <v>-326372.53122639313</v>
      </c>
      <c r="L7" s="110"/>
      <c r="M7" s="110"/>
      <c r="N7" s="110"/>
      <c r="O7" s="109"/>
      <c r="P7" s="109">
        <v>-737024</v>
      </c>
      <c r="Q7" s="110">
        <v>-443185.77594788279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-28680</v>
      </c>
      <c r="AU7" s="113"/>
      <c r="AV7" s="311"/>
      <c r="AW7" s="318"/>
    </row>
    <row r="8" spans="1:49" ht="25.5" x14ac:dyDescent="0.2">
      <c r="B8" s="155" t="s">
        <v>225</v>
      </c>
      <c r="C8" s="62" t="s">
        <v>59</v>
      </c>
      <c r="D8" s="109">
        <v>-1374097</v>
      </c>
      <c r="E8" s="289"/>
      <c r="F8" s="290"/>
      <c r="G8" s="290"/>
      <c r="H8" s="290"/>
      <c r="I8" s="293"/>
      <c r="J8" s="109">
        <v>-446022</v>
      </c>
      <c r="K8" s="289"/>
      <c r="L8" s="290"/>
      <c r="M8" s="290"/>
      <c r="N8" s="290"/>
      <c r="O8" s="293"/>
      <c r="P8" s="109">
        <v>-161621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-1908357</v>
      </c>
      <c r="AT8" s="113">
        <v>-12741282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231804493</v>
      </c>
      <c r="E12" s="106">
        <f>'Pt 2 Premium and Claims'!E$54</f>
        <v>235618617.30400002</v>
      </c>
      <c r="F12" s="106">
        <f>'Pt 2 Premium and Claims'!F$54</f>
        <v>0</v>
      </c>
      <c r="G12" s="106">
        <f>'Pt 2 Premium and Claims'!G$54</f>
        <v>0</v>
      </c>
      <c r="H12" s="106">
        <f>'Pt 2 Premium and Claims'!H$54</f>
        <v>0</v>
      </c>
      <c r="I12" s="105">
        <f>'Pt 2 Premium and Claims'!I$54</f>
        <v>98685597</v>
      </c>
      <c r="J12" s="105">
        <f>'Pt 2 Premium and Claims'!J$54</f>
        <v>208548095</v>
      </c>
      <c r="K12" s="106">
        <f>'Pt 2 Premium and Claims'!K$54</f>
        <v>132834139.69578877</v>
      </c>
      <c r="L12" s="106">
        <f>'Pt 2 Premium and Claims'!L$54</f>
        <v>0</v>
      </c>
      <c r="M12" s="106">
        <f>'Pt 2 Premium and Claims'!M$54</f>
        <v>0</v>
      </c>
      <c r="N12" s="106">
        <f>'Pt 2 Premium and Claims'!N$54</f>
        <v>0</v>
      </c>
      <c r="O12" s="105">
        <f>'Pt 2 Premium and Claims'!O$54</f>
        <v>0</v>
      </c>
      <c r="P12" s="105">
        <f>'Pt 2 Premium and Claims'!P$54</f>
        <v>104127740</v>
      </c>
      <c r="Q12" s="106">
        <f>'Pt 2 Premium and Claims'!Q$54</f>
        <v>56006966.8095112</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1708500290</v>
      </c>
      <c r="AT12" s="107">
        <f>'Pt 2 Premium and Claims'!AT$54</f>
        <v>27545937</v>
      </c>
      <c r="AU12" s="107">
        <f>'Pt 2 Premium and Claims'!AU$54</f>
        <v>0</v>
      </c>
      <c r="AV12" s="312"/>
      <c r="AW12" s="317"/>
    </row>
    <row r="13" spans="1:49" ht="25.5" x14ac:dyDescent="0.2">
      <c r="B13" s="155" t="s">
        <v>230</v>
      </c>
      <c r="C13" s="62" t="s">
        <v>37</v>
      </c>
      <c r="D13" s="109">
        <v>25679621</v>
      </c>
      <c r="E13" s="110">
        <v>25751698.07</v>
      </c>
      <c r="F13" s="110"/>
      <c r="G13" s="289"/>
      <c r="H13" s="290"/>
      <c r="I13" s="109">
        <v>11860544</v>
      </c>
      <c r="J13" s="109">
        <v>24384689</v>
      </c>
      <c r="K13" s="110">
        <v>24754578.240498148</v>
      </c>
      <c r="L13" s="110"/>
      <c r="M13" s="289"/>
      <c r="N13" s="290"/>
      <c r="O13" s="109"/>
      <c r="P13" s="109">
        <v>10774649</v>
      </c>
      <c r="Q13" s="110">
        <v>10544448.849501813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356924617</v>
      </c>
      <c r="AT13" s="113">
        <v>484905</v>
      </c>
      <c r="AU13" s="113"/>
      <c r="AV13" s="311"/>
      <c r="AW13" s="318"/>
    </row>
    <row r="14" spans="1:49" ht="25.5" x14ac:dyDescent="0.2">
      <c r="B14" s="155" t="s">
        <v>231</v>
      </c>
      <c r="C14" s="62" t="s">
        <v>6</v>
      </c>
      <c r="D14" s="109">
        <v>2361242</v>
      </c>
      <c r="E14" s="110">
        <v>2327850.8600000003</v>
      </c>
      <c r="F14" s="110"/>
      <c r="G14" s="288"/>
      <c r="H14" s="291"/>
      <c r="I14" s="109">
        <v>780602</v>
      </c>
      <c r="J14" s="109">
        <v>2764145</v>
      </c>
      <c r="K14" s="110">
        <v>2752275.8013243326</v>
      </c>
      <c r="L14" s="110"/>
      <c r="M14" s="288"/>
      <c r="N14" s="291"/>
      <c r="O14" s="109"/>
      <c r="P14" s="109">
        <v>1160399</v>
      </c>
      <c r="Q14" s="110">
        <v>1113729.9086756669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109691457</v>
      </c>
      <c r="AT14" s="113">
        <v>1928</v>
      </c>
      <c r="AU14" s="113"/>
      <c r="AV14" s="311"/>
      <c r="AW14" s="318"/>
    </row>
    <row r="15" spans="1:49" ht="38.25" x14ac:dyDescent="0.2">
      <c r="B15" s="155" t="s">
        <v>232</v>
      </c>
      <c r="C15" s="62" t="s">
        <v>7</v>
      </c>
      <c r="D15" s="109">
        <v>8596</v>
      </c>
      <c r="E15" s="110">
        <v>8596</v>
      </c>
      <c r="F15" s="110"/>
      <c r="G15" s="288"/>
      <c r="H15" s="294"/>
      <c r="I15" s="109">
        <v>3393</v>
      </c>
      <c r="J15" s="109">
        <v>9046</v>
      </c>
      <c r="K15" s="110">
        <v>9046</v>
      </c>
      <c r="L15" s="110"/>
      <c r="M15" s="288"/>
      <c r="N15" s="294"/>
      <c r="O15" s="109"/>
      <c r="P15" s="109">
        <v>3693</v>
      </c>
      <c r="Q15" s="110">
        <v>3693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67536</v>
      </c>
      <c r="AT15" s="113">
        <v>9104</v>
      </c>
      <c r="AU15" s="113"/>
      <c r="AV15" s="311"/>
      <c r="AW15" s="318"/>
    </row>
    <row r="16" spans="1:49" ht="25.5" x14ac:dyDescent="0.2">
      <c r="B16" s="155" t="s">
        <v>233</v>
      </c>
      <c r="C16" s="62" t="s">
        <v>61</v>
      </c>
      <c r="D16" s="109">
        <v>-23318920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-479723</v>
      </c>
      <c r="AT16" s="113">
        <v>-7318006</v>
      </c>
      <c r="AU16" s="113"/>
      <c r="AV16" s="311"/>
      <c r="AW16" s="318"/>
    </row>
    <row r="17" spans="1:49" x14ac:dyDescent="0.2">
      <c r="B17" s="155" t="s">
        <v>234</v>
      </c>
      <c r="C17" s="62" t="s">
        <v>62</v>
      </c>
      <c r="D17" s="109">
        <v>3142199</v>
      </c>
      <c r="E17" s="288"/>
      <c r="F17" s="291"/>
      <c r="G17" s="291"/>
      <c r="H17" s="291"/>
      <c r="I17" s="292"/>
      <c r="J17" s="109">
        <v>3248760</v>
      </c>
      <c r="K17" s="288"/>
      <c r="L17" s="291"/>
      <c r="M17" s="291"/>
      <c r="N17" s="291"/>
      <c r="O17" s="292"/>
      <c r="P17" s="109">
        <v>-1474185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251468</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3186805.0000000005</v>
      </c>
      <c r="E19" s="288"/>
      <c r="F19" s="291"/>
      <c r="G19" s="291"/>
      <c r="H19" s="291"/>
      <c r="I19" s="292"/>
      <c r="J19" s="109">
        <v>24795</v>
      </c>
      <c r="K19" s="288"/>
      <c r="L19" s="291"/>
      <c r="M19" s="291"/>
      <c r="N19" s="291"/>
      <c r="O19" s="292"/>
      <c r="P19" s="109">
        <v>1024548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-528</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411318</v>
      </c>
      <c r="E22" s="115">
        <f>'Pt 2 Premium and Claims'!E$55</f>
        <v>407764.31</v>
      </c>
      <c r="F22" s="115">
        <f>'Pt 2 Premium and Claims'!F$55</f>
        <v>0</v>
      </c>
      <c r="G22" s="115">
        <f>'Pt 2 Premium and Claims'!G$55</f>
        <v>0</v>
      </c>
      <c r="H22" s="115">
        <f>'Pt 2 Premium and Claims'!H$55</f>
        <v>0</v>
      </c>
      <c r="I22" s="114">
        <f>'Pt 2 Premium and Claims'!I$55</f>
        <v>12001</v>
      </c>
      <c r="J22" s="114">
        <f>'Pt 2 Premium and Claims'!J$55</f>
        <v>305324</v>
      </c>
      <c r="K22" s="115">
        <f>'Pt 2 Premium and Claims'!K$55</f>
        <v>302112.61</v>
      </c>
      <c r="L22" s="115">
        <f>'Pt 2 Premium and Claims'!L$55</f>
        <v>0</v>
      </c>
      <c r="M22" s="115">
        <f>'Pt 2 Premium and Claims'!M$55</f>
        <v>0</v>
      </c>
      <c r="N22" s="115">
        <f>'Pt 2 Premium and Claims'!N$55</f>
        <v>0</v>
      </c>
      <c r="O22" s="114">
        <f>'Pt 2 Premium and Claims'!O$55</f>
        <v>0</v>
      </c>
      <c r="P22" s="114">
        <f>'Pt 2 Premium and Claims'!P$55</f>
        <v>157420</v>
      </c>
      <c r="Q22" s="115">
        <f>'Pt 2 Premium and Claims'!Q$55</f>
        <v>156022.6</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-8809752.0260000005</v>
      </c>
      <c r="E25" s="110">
        <v>-9178392.5559414309</v>
      </c>
      <c r="F25" s="110"/>
      <c r="G25" s="110"/>
      <c r="H25" s="110"/>
      <c r="I25" s="109">
        <v>-3578871</v>
      </c>
      <c r="J25" s="109">
        <v>9011082.1500000004</v>
      </c>
      <c r="K25" s="110">
        <v>5642743.4844625685</v>
      </c>
      <c r="L25" s="110"/>
      <c r="M25" s="110"/>
      <c r="N25" s="110"/>
      <c r="O25" s="109"/>
      <c r="P25" s="109">
        <v>-3179113.4130000002</v>
      </c>
      <c r="Q25" s="110">
        <v>-1911658.0257450601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41806394.530000001</v>
      </c>
      <c r="AT25" s="113">
        <v>2198172.2940000002</v>
      </c>
      <c r="AU25" s="113"/>
      <c r="AV25" s="113"/>
      <c r="AW25" s="318"/>
    </row>
    <row r="26" spans="1:49" s="5" customFormat="1" x14ac:dyDescent="0.2">
      <c r="A26" s="35"/>
      <c r="B26" s="158" t="s">
        <v>243</v>
      </c>
      <c r="C26" s="62"/>
      <c r="D26" s="109"/>
      <c r="E26" s="110">
        <v>200497.03393405117</v>
      </c>
      <c r="F26" s="110"/>
      <c r="G26" s="110"/>
      <c r="H26" s="110"/>
      <c r="I26" s="109">
        <v>32452</v>
      </c>
      <c r="J26" s="109"/>
      <c r="K26" s="110">
        <v>78128.747829705593</v>
      </c>
      <c r="L26" s="110"/>
      <c r="M26" s="110"/>
      <c r="N26" s="110"/>
      <c r="O26" s="109"/>
      <c r="P26" s="109"/>
      <c r="Q26" s="110">
        <v>33839.93246814562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3146104.25</v>
      </c>
      <c r="E27" s="110">
        <v>3108102.736110413</v>
      </c>
      <c r="F27" s="110"/>
      <c r="G27" s="110"/>
      <c r="H27" s="110"/>
      <c r="I27" s="109">
        <v>945809</v>
      </c>
      <c r="J27" s="109">
        <v>3406808.1999999997</v>
      </c>
      <c r="K27" s="110">
        <v>2133344.747430102</v>
      </c>
      <c r="L27" s="110"/>
      <c r="M27" s="110"/>
      <c r="N27" s="110"/>
      <c r="O27" s="109"/>
      <c r="P27" s="109">
        <v>1531687.58</v>
      </c>
      <c r="Q27" s="110">
        <v>921031.26716638112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25541590.739999998</v>
      </c>
      <c r="AT27" s="113">
        <v>75116.600000000006</v>
      </c>
      <c r="AU27" s="113"/>
      <c r="AV27" s="314"/>
      <c r="AW27" s="318"/>
    </row>
    <row r="28" spans="1:49" s="5" customFormat="1" x14ac:dyDescent="0.2">
      <c r="A28" s="35"/>
      <c r="B28" s="158" t="s">
        <v>245</v>
      </c>
      <c r="C28" s="62"/>
      <c r="D28" s="109">
        <v>5682782.129999999</v>
      </c>
      <c r="E28" s="110">
        <v>944964.9659154471</v>
      </c>
      <c r="F28" s="110"/>
      <c r="G28" s="110"/>
      <c r="H28" s="110"/>
      <c r="I28" s="109">
        <v>146062</v>
      </c>
      <c r="J28" s="109">
        <v>3925273.9599999995</v>
      </c>
      <c r="K28" s="110">
        <v>308094.54857895186</v>
      </c>
      <c r="L28" s="110"/>
      <c r="M28" s="110"/>
      <c r="N28" s="110"/>
      <c r="O28" s="109"/>
      <c r="P28" s="109">
        <v>1797633.0599999996</v>
      </c>
      <c r="Q28" s="110">
        <v>135375.43028479425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111455.77</v>
      </c>
      <c r="AT28" s="113">
        <v>18304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-551459.14259999862</v>
      </c>
      <c r="E30" s="110">
        <v>-447862.49913294776</v>
      </c>
      <c r="F30" s="110"/>
      <c r="G30" s="110"/>
      <c r="H30" s="110"/>
      <c r="I30" s="109">
        <v>-218702</v>
      </c>
      <c r="J30" s="109">
        <v>680748.06100000069</v>
      </c>
      <c r="K30" s="110">
        <v>457648.75716030889</v>
      </c>
      <c r="L30" s="110"/>
      <c r="M30" s="110"/>
      <c r="N30" s="110"/>
      <c r="O30" s="109"/>
      <c r="P30" s="109">
        <v>-190701.87320000003</v>
      </c>
      <c r="Q30" s="110">
        <v>-103458.79650864188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3166033.838</v>
      </c>
      <c r="AT30" s="113">
        <v>182054.34480000005</v>
      </c>
      <c r="AU30" s="113"/>
      <c r="AV30" s="113"/>
      <c r="AW30" s="318"/>
    </row>
    <row r="31" spans="1:49" x14ac:dyDescent="0.2">
      <c r="B31" s="158" t="s">
        <v>248</v>
      </c>
      <c r="C31" s="62"/>
      <c r="D31" s="109">
        <v>4061467.1399999997</v>
      </c>
      <c r="E31" s="110">
        <v>3880514.2433101162</v>
      </c>
      <c r="F31" s="110"/>
      <c r="G31" s="110"/>
      <c r="H31" s="110"/>
      <c r="I31" s="109">
        <v>951490</v>
      </c>
      <c r="J31" s="109">
        <v>4706245.9400000004</v>
      </c>
      <c r="K31" s="110">
        <v>2947053.2142705433</v>
      </c>
      <c r="L31" s="110"/>
      <c r="M31" s="110"/>
      <c r="N31" s="110"/>
      <c r="O31" s="109"/>
      <c r="P31" s="109">
        <v>2037028.1788000001</v>
      </c>
      <c r="Q31" s="110">
        <v>1224901.6504878819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1139995.1000000001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6160455.1784926401</v>
      </c>
      <c r="F34" s="110"/>
      <c r="G34" s="110"/>
      <c r="H34" s="110"/>
      <c r="I34" s="109">
        <v>801046</v>
      </c>
      <c r="J34" s="109"/>
      <c r="K34" s="110">
        <v>2366430.2035595151</v>
      </c>
      <c r="L34" s="110"/>
      <c r="M34" s="110"/>
      <c r="N34" s="110"/>
      <c r="O34" s="109"/>
      <c r="P34" s="109"/>
      <c r="Q34" s="110">
        <v>1042969.1469867054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263780.47000000009</v>
      </c>
      <c r="E35" s="110">
        <v>751662.66489473532</v>
      </c>
      <c r="F35" s="110"/>
      <c r="G35" s="110"/>
      <c r="H35" s="110"/>
      <c r="I35" s="109">
        <v>538293</v>
      </c>
      <c r="J35" s="109">
        <v>140401.58000000005</v>
      </c>
      <c r="K35" s="110">
        <v>91972.129345635942</v>
      </c>
      <c r="L35" s="110"/>
      <c r="M35" s="110"/>
      <c r="N35" s="110"/>
      <c r="O35" s="109"/>
      <c r="P35" s="109">
        <v>63783.000000000015</v>
      </c>
      <c r="Q35" s="110">
        <v>38363.352915004492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1054910.8999999999</v>
      </c>
      <c r="AT35" s="113">
        <v>46066.040000000008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1093526</v>
      </c>
      <c r="E37" s="118">
        <v>1090922.3699999999</v>
      </c>
      <c r="F37" s="118"/>
      <c r="G37" s="118"/>
      <c r="H37" s="118"/>
      <c r="I37" s="117">
        <v>162458</v>
      </c>
      <c r="J37" s="117">
        <v>830814</v>
      </c>
      <c r="K37" s="118">
        <v>605373.46</v>
      </c>
      <c r="L37" s="118"/>
      <c r="M37" s="118"/>
      <c r="N37" s="118"/>
      <c r="O37" s="117"/>
      <c r="P37" s="117">
        <v>377962</v>
      </c>
      <c r="Q37" s="118">
        <v>280808.40000000002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11950364</v>
      </c>
      <c r="AT37" s="119">
        <v>859</v>
      </c>
      <c r="AU37" s="119"/>
      <c r="AV37" s="119"/>
      <c r="AW37" s="317"/>
    </row>
    <row r="38" spans="1:49" x14ac:dyDescent="0.2">
      <c r="B38" s="155" t="s">
        <v>255</v>
      </c>
      <c r="C38" s="62" t="s">
        <v>16</v>
      </c>
      <c r="D38" s="109">
        <v>197776</v>
      </c>
      <c r="E38" s="110">
        <v>196357.50999999998</v>
      </c>
      <c r="F38" s="110"/>
      <c r="G38" s="110"/>
      <c r="H38" s="110"/>
      <c r="I38" s="109">
        <v>30909</v>
      </c>
      <c r="J38" s="109">
        <v>389961</v>
      </c>
      <c r="K38" s="110">
        <v>228523.52999999997</v>
      </c>
      <c r="L38" s="110"/>
      <c r="M38" s="110"/>
      <c r="N38" s="110"/>
      <c r="O38" s="109"/>
      <c r="P38" s="109">
        <v>173332</v>
      </c>
      <c r="Q38" s="110">
        <v>103941.01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4119861</v>
      </c>
      <c r="AT38" s="113">
        <v>-28</v>
      </c>
      <c r="AU38" s="113"/>
      <c r="AV38" s="113"/>
      <c r="AW38" s="318"/>
    </row>
    <row r="39" spans="1:49" x14ac:dyDescent="0.2">
      <c r="B39" s="158" t="s">
        <v>256</v>
      </c>
      <c r="C39" s="62" t="s">
        <v>17</v>
      </c>
      <c r="D39" s="109">
        <v>353606</v>
      </c>
      <c r="E39" s="110">
        <v>353152.47999999992</v>
      </c>
      <c r="F39" s="110"/>
      <c r="G39" s="110"/>
      <c r="H39" s="110"/>
      <c r="I39" s="109">
        <v>60154</v>
      </c>
      <c r="J39" s="109">
        <v>285830</v>
      </c>
      <c r="K39" s="110">
        <v>249516.16000000003</v>
      </c>
      <c r="L39" s="110"/>
      <c r="M39" s="110"/>
      <c r="N39" s="110"/>
      <c r="O39" s="109"/>
      <c r="P39" s="109">
        <v>130047</v>
      </c>
      <c r="Q39" s="110">
        <v>114319.88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3431129</v>
      </c>
      <c r="AT39" s="113">
        <v>6975</v>
      </c>
      <c r="AU39" s="113"/>
      <c r="AV39" s="113"/>
      <c r="AW39" s="318"/>
    </row>
    <row r="40" spans="1:49" x14ac:dyDescent="0.2">
      <c r="B40" s="158" t="s">
        <v>257</v>
      </c>
      <c r="C40" s="62" t="s">
        <v>38</v>
      </c>
      <c r="D40" s="109">
        <v>1671766</v>
      </c>
      <c r="E40" s="110">
        <v>1671045.2999999998</v>
      </c>
      <c r="F40" s="110"/>
      <c r="G40" s="110"/>
      <c r="H40" s="110"/>
      <c r="I40" s="109">
        <v>205612</v>
      </c>
      <c r="J40" s="109">
        <v>1775082</v>
      </c>
      <c r="K40" s="110">
        <v>1637937.3100000003</v>
      </c>
      <c r="L40" s="110"/>
      <c r="M40" s="110"/>
      <c r="N40" s="110"/>
      <c r="O40" s="109"/>
      <c r="P40" s="109">
        <v>837435</v>
      </c>
      <c r="Q40" s="110">
        <v>780928.56000000017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12138622</v>
      </c>
      <c r="AT40" s="113">
        <v>22267</v>
      </c>
      <c r="AU40" s="113"/>
      <c r="AV40" s="113"/>
      <c r="AW40" s="318"/>
    </row>
    <row r="41" spans="1:49" s="5" customFormat="1" ht="25.5" x14ac:dyDescent="0.2">
      <c r="A41" s="35"/>
      <c r="B41" s="158" t="s">
        <v>258</v>
      </c>
      <c r="C41" s="62" t="s">
        <v>129</v>
      </c>
      <c r="D41" s="109">
        <v>478781</v>
      </c>
      <c r="E41" s="110">
        <v>477353.73000000004</v>
      </c>
      <c r="F41" s="110"/>
      <c r="G41" s="110"/>
      <c r="H41" s="110"/>
      <c r="I41" s="109">
        <v>41480</v>
      </c>
      <c r="J41" s="109">
        <v>256726</v>
      </c>
      <c r="K41" s="110">
        <v>149636.03999999995</v>
      </c>
      <c r="L41" s="110"/>
      <c r="M41" s="110"/>
      <c r="N41" s="110"/>
      <c r="O41" s="109"/>
      <c r="P41" s="109">
        <v>116171</v>
      </c>
      <c r="Q41" s="110">
        <v>69069.860000000015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4671292</v>
      </c>
      <c r="AT41" s="113">
        <v>38292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3418455</v>
      </c>
      <c r="E44" s="118">
        <v>3388271.838865085</v>
      </c>
      <c r="F44" s="118"/>
      <c r="G44" s="118"/>
      <c r="H44" s="118"/>
      <c r="I44" s="117">
        <v>626980</v>
      </c>
      <c r="J44" s="117">
        <v>2660431</v>
      </c>
      <c r="K44" s="118">
        <v>1557981.8928563762</v>
      </c>
      <c r="L44" s="118"/>
      <c r="M44" s="118"/>
      <c r="N44" s="118"/>
      <c r="O44" s="117"/>
      <c r="P44" s="117">
        <v>1287007</v>
      </c>
      <c r="Q44" s="118">
        <v>756108.43098406505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21920834</v>
      </c>
      <c r="AT44" s="119">
        <v>63050</v>
      </c>
      <c r="AU44" s="119"/>
      <c r="AV44" s="119"/>
      <c r="AW44" s="317"/>
    </row>
    <row r="45" spans="1:49" x14ac:dyDescent="0.2">
      <c r="B45" s="161" t="s">
        <v>262</v>
      </c>
      <c r="C45" s="62" t="s">
        <v>19</v>
      </c>
      <c r="D45" s="109">
        <v>3353411</v>
      </c>
      <c r="E45" s="110">
        <v>3323802.1432022369</v>
      </c>
      <c r="F45" s="110"/>
      <c r="G45" s="110"/>
      <c r="H45" s="110"/>
      <c r="I45" s="109">
        <v>650942</v>
      </c>
      <c r="J45" s="109">
        <v>960712</v>
      </c>
      <c r="K45" s="110">
        <v>562605.04416383477</v>
      </c>
      <c r="L45" s="110"/>
      <c r="M45" s="110"/>
      <c r="N45" s="110"/>
      <c r="O45" s="109"/>
      <c r="P45" s="109">
        <v>264645</v>
      </c>
      <c r="Q45" s="110">
        <v>155477.25514917783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18960388</v>
      </c>
      <c r="AT45" s="113">
        <v>185110</v>
      </c>
      <c r="AU45" s="113"/>
      <c r="AV45" s="113"/>
      <c r="AW45" s="318"/>
    </row>
    <row r="46" spans="1:49" x14ac:dyDescent="0.2">
      <c r="B46" s="161" t="s">
        <v>263</v>
      </c>
      <c r="C46" s="62" t="s">
        <v>20</v>
      </c>
      <c r="D46" s="109">
        <v>3528433</v>
      </c>
      <c r="E46" s="110">
        <v>3497278.7909222874</v>
      </c>
      <c r="F46" s="110"/>
      <c r="G46" s="110"/>
      <c r="H46" s="110"/>
      <c r="I46" s="109">
        <v>602971</v>
      </c>
      <c r="J46" s="109">
        <v>1288063</v>
      </c>
      <c r="K46" s="110">
        <v>754305.91165802174</v>
      </c>
      <c r="L46" s="110"/>
      <c r="M46" s="110"/>
      <c r="N46" s="110"/>
      <c r="O46" s="109"/>
      <c r="P46" s="109">
        <v>587457</v>
      </c>
      <c r="Q46" s="110">
        <v>345127.25303017464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20670657</v>
      </c>
      <c r="AT46" s="113">
        <v>247783</v>
      </c>
      <c r="AU46" s="113"/>
      <c r="AV46" s="113"/>
      <c r="AW46" s="318"/>
    </row>
    <row r="47" spans="1:49" x14ac:dyDescent="0.2">
      <c r="B47" s="161" t="s">
        <v>264</v>
      </c>
      <c r="C47" s="62" t="s">
        <v>21</v>
      </c>
      <c r="D47" s="109">
        <v>14926972</v>
      </c>
      <c r="E47" s="110">
        <v>14795174.681874599</v>
      </c>
      <c r="F47" s="110"/>
      <c r="G47" s="110"/>
      <c r="H47" s="110"/>
      <c r="I47" s="109">
        <v>3529038</v>
      </c>
      <c r="J47" s="109">
        <v>8747112</v>
      </c>
      <c r="K47" s="110">
        <v>5122418.9279055623</v>
      </c>
      <c r="L47" s="110"/>
      <c r="M47" s="110"/>
      <c r="N47" s="110"/>
      <c r="O47" s="109"/>
      <c r="P47" s="109">
        <v>3707852</v>
      </c>
      <c r="Q47" s="110">
        <v>2178339.4791490082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11464888</v>
      </c>
      <c r="AT47" s="113">
        <v>7629921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1490787.1426000001</v>
      </c>
      <c r="E49" s="110">
        <v>460931.5649622163</v>
      </c>
      <c r="F49" s="110"/>
      <c r="G49" s="110"/>
      <c r="H49" s="110"/>
      <c r="I49" s="109">
        <v>112219</v>
      </c>
      <c r="J49" s="109">
        <v>-402831.28099999984</v>
      </c>
      <c r="K49" s="110">
        <v>-544571.66717720614</v>
      </c>
      <c r="L49" s="110"/>
      <c r="M49" s="110"/>
      <c r="N49" s="110"/>
      <c r="O49" s="109"/>
      <c r="P49" s="109">
        <v>468935.38439999986</v>
      </c>
      <c r="Q49" s="110">
        <v>136313.08514621123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5840291.3319999995</v>
      </c>
      <c r="AT49" s="113">
        <v>203298.3052</v>
      </c>
      <c r="AU49" s="113"/>
      <c r="AV49" s="113"/>
      <c r="AW49" s="318"/>
    </row>
    <row r="50" spans="2:49" ht="25.5" x14ac:dyDescent="0.2">
      <c r="B50" s="155" t="s">
        <v>266</v>
      </c>
      <c r="C50" s="62"/>
      <c r="D50" s="109">
        <v>14053.299999999994</v>
      </c>
      <c r="E50" s="110">
        <v>13929.216746490059</v>
      </c>
      <c r="F50" s="110"/>
      <c r="G50" s="110"/>
      <c r="H50" s="110"/>
      <c r="I50" s="109">
        <v>2045</v>
      </c>
      <c r="J50" s="109">
        <v>7656.6700000000019</v>
      </c>
      <c r="K50" s="110">
        <v>4483.8423622250048</v>
      </c>
      <c r="L50" s="110"/>
      <c r="M50" s="110"/>
      <c r="N50" s="110"/>
      <c r="O50" s="109"/>
      <c r="P50" s="109">
        <v>3540.61</v>
      </c>
      <c r="Q50" s="110">
        <v>2080.0858673080184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63564.240000000005</v>
      </c>
      <c r="AT50" s="113">
        <v>1723.29</v>
      </c>
      <c r="AU50" s="113"/>
      <c r="AV50" s="113"/>
      <c r="AW50" s="318"/>
    </row>
    <row r="51" spans="2:49" x14ac:dyDescent="0.2">
      <c r="B51" s="155" t="s">
        <v>267</v>
      </c>
      <c r="C51" s="62"/>
      <c r="D51" s="109">
        <v>27518189</v>
      </c>
      <c r="E51" s="110">
        <v>27275217.852880016</v>
      </c>
      <c r="F51" s="110"/>
      <c r="G51" s="110"/>
      <c r="H51" s="110"/>
      <c r="I51" s="109">
        <v>4157976</v>
      </c>
      <c r="J51" s="109">
        <v>14666168</v>
      </c>
      <c r="K51" s="110">
        <v>8588692.6522768736</v>
      </c>
      <c r="L51" s="110"/>
      <c r="M51" s="110"/>
      <c r="N51" s="110"/>
      <c r="O51" s="109"/>
      <c r="P51" s="109">
        <v>6721042</v>
      </c>
      <c r="Q51" s="110">
        <v>3948569.4492710629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100632599</v>
      </c>
      <c r="AT51" s="113">
        <v>-4518041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48842</v>
      </c>
      <c r="E56" s="122">
        <v>47408</v>
      </c>
      <c r="F56" s="122"/>
      <c r="G56" s="122"/>
      <c r="H56" s="122"/>
      <c r="I56" s="121">
        <v>11309</v>
      </c>
      <c r="J56" s="121">
        <v>65759</v>
      </c>
      <c r="K56" s="122">
        <v>18092</v>
      </c>
      <c r="L56" s="122"/>
      <c r="M56" s="122"/>
      <c r="N56" s="122"/>
      <c r="O56" s="121"/>
      <c r="P56" s="121">
        <v>44372</v>
      </c>
      <c r="Q56" s="122">
        <v>7954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347849</v>
      </c>
      <c r="AT56" s="123">
        <v>99275</v>
      </c>
      <c r="AU56" s="123"/>
      <c r="AV56" s="123"/>
      <c r="AW56" s="309"/>
    </row>
    <row r="57" spans="2:49" x14ac:dyDescent="0.2">
      <c r="B57" s="161" t="s">
        <v>273</v>
      </c>
      <c r="C57" s="62" t="s">
        <v>25</v>
      </c>
      <c r="D57" s="124">
        <v>91222</v>
      </c>
      <c r="E57" s="125">
        <v>89154</v>
      </c>
      <c r="F57" s="125"/>
      <c r="G57" s="125"/>
      <c r="H57" s="125"/>
      <c r="I57" s="124">
        <v>19570</v>
      </c>
      <c r="J57" s="124">
        <v>135094</v>
      </c>
      <c r="K57" s="125">
        <v>29110</v>
      </c>
      <c r="L57" s="125"/>
      <c r="M57" s="125"/>
      <c r="N57" s="125"/>
      <c r="O57" s="124"/>
      <c r="P57" s="124">
        <v>62968</v>
      </c>
      <c r="Q57" s="125">
        <v>13642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427802</v>
      </c>
      <c r="AT57" s="126">
        <v>161639</v>
      </c>
      <c r="AU57" s="126"/>
      <c r="AV57" s="126"/>
      <c r="AW57" s="310"/>
    </row>
    <row r="58" spans="2:49" x14ac:dyDescent="0.2">
      <c r="B58" s="161" t="s">
        <v>274</v>
      </c>
      <c r="C58" s="62" t="s">
        <v>26</v>
      </c>
      <c r="D58" s="330"/>
      <c r="E58" s="331"/>
      <c r="F58" s="331"/>
      <c r="G58" s="331"/>
      <c r="H58" s="331"/>
      <c r="I58" s="330"/>
      <c r="J58" s="124">
        <v>2364</v>
      </c>
      <c r="K58" s="125">
        <v>2364</v>
      </c>
      <c r="L58" s="125"/>
      <c r="M58" s="125"/>
      <c r="N58" s="125"/>
      <c r="O58" s="124"/>
      <c r="P58" s="124">
        <v>79</v>
      </c>
      <c r="Q58" s="125">
        <v>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47</v>
      </c>
      <c r="AT58" s="126">
        <v>412</v>
      </c>
      <c r="AU58" s="126"/>
      <c r="AV58" s="126"/>
      <c r="AW58" s="310"/>
    </row>
    <row r="59" spans="2:49" x14ac:dyDescent="0.2">
      <c r="B59" s="161" t="s">
        <v>275</v>
      </c>
      <c r="C59" s="62" t="s">
        <v>27</v>
      </c>
      <c r="D59" s="124">
        <v>1171097</v>
      </c>
      <c r="E59" s="125">
        <v>1152876</v>
      </c>
      <c r="F59" s="125"/>
      <c r="G59" s="125"/>
      <c r="H59" s="125"/>
      <c r="I59" s="124">
        <v>191816</v>
      </c>
      <c r="J59" s="124">
        <v>1803458</v>
      </c>
      <c r="K59" s="125">
        <v>409270</v>
      </c>
      <c r="L59" s="125"/>
      <c r="M59" s="125"/>
      <c r="N59" s="125"/>
      <c r="O59" s="124"/>
      <c r="P59" s="124">
        <v>852356</v>
      </c>
      <c r="Q59" s="125">
        <v>194075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5070879</v>
      </c>
      <c r="AT59" s="126">
        <v>2426479</v>
      </c>
      <c r="AU59" s="126"/>
      <c r="AV59" s="126"/>
      <c r="AW59" s="310"/>
    </row>
    <row r="60" spans="2:49" x14ac:dyDescent="0.2">
      <c r="B60" s="161" t="s">
        <v>276</v>
      </c>
      <c r="C60" s="62"/>
      <c r="D60" s="127">
        <f t="shared" ref="D60:AC60" si="0">D$59/12</f>
        <v>97591.416666666672</v>
      </c>
      <c r="E60" s="128">
        <f t="shared" si="0"/>
        <v>96073</v>
      </c>
      <c r="F60" s="128">
        <f t="shared" si="0"/>
        <v>0</v>
      </c>
      <c r="G60" s="128">
        <f t="shared" si="0"/>
        <v>0</v>
      </c>
      <c r="H60" s="128">
        <f t="shared" si="0"/>
        <v>0</v>
      </c>
      <c r="I60" s="127">
        <f t="shared" si="0"/>
        <v>15984.666666666666</v>
      </c>
      <c r="J60" s="127">
        <f t="shared" si="0"/>
        <v>150288.16666666666</v>
      </c>
      <c r="K60" s="128">
        <f t="shared" si="0"/>
        <v>34105.833333333336</v>
      </c>
      <c r="L60" s="128">
        <f t="shared" si="0"/>
        <v>0</v>
      </c>
      <c r="M60" s="128">
        <f t="shared" si="0"/>
        <v>0</v>
      </c>
      <c r="N60" s="128">
        <f t="shared" si="0"/>
        <v>0</v>
      </c>
      <c r="O60" s="127">
        <f t="shared" si="0"/>
        <v>0</v>
      </c>
      <c r="P60" s="127">
        <f t="shared" si="0"/>
        <v>71029.666666666672</v>
      </c>
      <c r="Q60" s="128">
        <f t="shared" si="0"/>
        <v>16172.916666666666</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422573.25</v>
      </c>
      <c r="AT60" s="129">
        <f>AT$59/12</f>
        <v>202206.58333333334</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249322787</v>
      </c>
      <c r="E5" s="118">
        <v>225637658.59685779</v>
      </c>
      <c r="F5" s="118"/>
      <c r="G5" s="130"/>
      <c r="H5" s="130"/>
      <c r="I5" s="117">
        <v>54754158</v>
      </c>
      <c r="J5" s="117">
        <v>279546948</v>
      </c>
      <c r="K5" s="118">
        <v>172512012.48586446</v>
      </c>
      <c r="L5" s="118"/>
      <c r="M5" s="118"/>
      <c r="N5" s="118"/>
      <c r="O5" s="117"/>
      <c r="P5" s="117">
        <v>114891455</v>
      </c>
      <c r="Q5" s="118">
        <v>72011877.844330296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2061139186</v>
      </c>
      <c r="AT5" s="119">
        <v>45146115</v>
      </c>
      <c r="AU5" s="119"/>
      <c r="AV5" s="312"/>
      <c r="AW5" s="317"/>
    </row>
    <row r="6" spans="2:49" x14ac:dyDescent="0.2">
      <c r="B6" s="176" t="s">
        <v>279</v>
      </c>
      <c r="C6" s="133" t="s">
        <v>8</v>
      </c>
      <c r="D6" s="109">
        <v>499283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132992</v>
      </c>
      <c r="AU6" s="113"/>
      <c r="AV6" s="311"/>
      <c r="AW6" s="318"/>
    </row>
    <row r="7" spans="2:49" x14ac:dyDescent="0.2">
      <c r="B7" s="176" t="s">
        <v>280</v>
      </c>
      <c r="C7" s="133" t="s">
        <v>9</v>
      </c>
      <c r="D7" s="109">
        <v>408097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78165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148831.05999999412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-2000432.9399999995</v>
      </c>
      <c r="E11" s="110"/>
      <c r="F11" s="110"/>
      <c r="G11" s="110"/>
      <c r="H11" s="110"/>
      <c r="I11" s="109"/>
      <c r="J11" s="109"/>
      <c r="K11" s="110"/>
      <c r="L11" s="110"/>
      <c r="M11" s="110"/>
      <c r="N11" s="110"/>
      <c r="O11" s="109"/>
      <c r="P11" s="109">
        <v>2.0000000018626451E-2</v>
      </c>
      <c r="Q11" s="110">
        <v>17897.23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-33279275.999999996</v>
      </c>
      <c r="AT11" s="113"/>
      <c r="AU11" s="113"/>
      <c r="AV11" s="311"/>
      <c r="AW11" s="318"/>
    </row>
    <row r="12" spans="2:49" x14ac:dyDescent="0.2">
      <c r="B12" s="176" t="s">
        <v>283</v>
      </c>
      <c r="C12" s="133" t="s">
        <v>44</v>
      </c>
      <c r="D12" s="109">
        <v>-0.36000001337379217</v>
      </c>
      <c r="E12" s="289"/>
      <c r="F12" s="289"/>
      <c r="G12" s="289"/>
      <c r="H12" s="289"/>
      <c r="I12" s="293"/>
      <c r="J12" s="109">
        <v>-0.35999999940031557</v>
      </c>
      <c r="K12" s="289"/>
      <c r="L12" s="289"/>
      <c r="M12" s="289"/>
      <c r="N12" s="289"/>
      <c r="O12" s="293"/>
      <c r="P12" s="109">
        <v>131952.41999999399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-27981977</v>
      </c>
      <c r="AT12" s="113">
        <v>1</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21797558.589999992</v>
      </c>
      <c r="F15" s="110"/>
      <c r="G15" s="110"/>
      <c r="H15" s="110"/>
      <c r="I15" s="109">
        <v>21797559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5252230.8499999996</v>
      </c>
      <c r="F16" s="110"/>
      <c r="G16" s="110"/>
      <c r="H16" s="110"/>
      <c r="I16" s="109">
        <v>5252231</v>
      </c>
      <c r="J16" s="109"/>
      <c r="K16" s="110">
        <f>-1055927.97+989.73</f>
        <v>-1054938.24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4710361</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202533</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-12405368</v>
      </c>
      <c r="AU19" s="113"/>
      <c r="AV19" s="311"/>
      <c r="AW19" s="318"/>
    </row>
    <row r="20" spans="2:49" s="5" customFormat="1" ht="25.5" x14ac:dyDescent="0.2">
      <c r="B20" s="178" t="s">
        <v>485</v>
      </c>
      <c r="C20" s="133"/>
      <c r="D20" s="109"/>
      <c r="E20" s="110">
        <v>9625193</v>
      </c>
      <c r="F20" s="110"/>
      <c r="G20" s="110"/>
      <c r="H20" s="110"/>
      <c r="I20" s="109">
        <v>9625193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226493399</v>
      </c>
      <c r="E23" s="288"/>
      <c r="F23" s="288"/>
      <c r="G23" s="288"/>
      <c r="H23" s="288"/>
      <c r="I23" s="292"/>
      <c r="J23" s="109">
        <v>214371038</v>
      </c>
      <c r="K23" s="288"/>
      <c r="L23" s="288"/>
      <c r="M23" s="288"/>
      <c r="N23" s="288"/>
      <c r="O23" s="292"/>
      <c r="P23" s="109">
        <v>110984828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1717549145</v>
      </c>
      <c r="AT23" s="113">
        <v>26455134</v>
      </c>
      <c r="AU23" s="113"/>
      <c r="AV23" s="311"/>
      <c r="AW23" s="318"/>
    </row>
    <row r="24" spans="2:49" ht="28.5" customHeight="1" x14ac:dyDescent="0.2">
      <c r="B24" s="178" t="s">
        <v>114</v>
      </c>
      <c r="C24" s="133"/>
      <c r="D24" s="293"/>
      <c r="E24" s="110">
        <v>233422842.77900001</v>
      </c>
      <c r="F24" s="110"/>
      <c r="G24" s="110"/>
      <c r="H24" s="110"/>
      <c r="I24" s="109">
        <v>96825774</v>
      </c>
      <c r="J24" s="293"/>
      <c r="K24" s="110">
        <v>133785749.03999996</v>
      </c>
      <c r="L24" s="110"/>
      <c r="M24" s="110"/>
      <c r="N24" s="110"/>
      <c r="O24" s="109"/>
      <c r="P24" s="293"/>
      <c r="Q24" s="110">
        <v>56666641.029999994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28286542</v>
      </c>
      <c r="E26" s="288"/>
      <c r="F26" s="288"/>
      <c r="G26" s="288"/>
      <c r="H26" s="288"/>
      <c r="I26" s="292"/>
      <c r="J26" s="109">
        <v>20024552</v>
      </c>
      <c r="K26" s="288"/>
      <c r="L26" s="288"/>
      <c r="M26" s="288"/>
      <c r="N26" s="288"/>
      <c r="O26" s="292"/>
      <c r="P26" s="109">
        <v>9524342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166166312</v>
      </c>
      <c r="AT26" s="113">
        <v>11464697</v>
      </c>
      <c r="AU26" s="113"/>
      <c r="AV26" s="311"/>
      <c r="AW26" s="318"/>
    </row>
    <row r="27" spans="2:49" s="5" customFormat="1" ht="25.5" x14ac:dyDescent="0.2">
      <c r="B27" s="178" t="s">
        <v>85</v>
      </c>
      <c r="C27" s="133"/>
      <c r="D27" s="293"/>
      <c r="E27" s="110">
        <v>3996816.3850000021</v>
      </c>
      <c r="F27" s="110"/>
      <c r="G27" s="110"/>
      <c r="H27" s="110"/>
      <c r="I27" s="109">
        <v>2640425</v>
      </c>
      <c r="J27" s="293"/>
      <c r="K27" s="110">
        <v>2012579.8471131404</v>
      </c>
      <c r="L27" s="110"/>
      <c r="M27" s="110"/>
      <c r="N27" s="110"/>
      <c r="O27" s="109"/>
      <c r="P27" s="293"/>
      <c r="Q27" s="110">
        <v>943882.00818686583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18578892</v>
      </c>
      <c r="E28" s="289"/>
      <c r="F28" s="289"/>
      <c r="G28" s="289"/>
      <c r="H28" s="289"/>
      <c r="I28" s="293"/>
      <c r="J28" s="109">
        <v>25347532</v>
      </c>
      <c r="K28" s="289"/>
      <c r="L28" s="289"/>
      <c r="M28" s="289"/>
      <c r="N28" s="289"/>
      <c r="O28" s="293"/>
      <c r="P28" s="109">
        <v>15897191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160468660</v>
      </c>
      <c r="AT28" s="113">
        <v>11244268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91870</v>
      </c>
      <c r="K30" s="288"/>
      <c r="L30" s="288"/>
      <c r="M30" s="288"/>
      <c r="N30" s="288"/>
      <c r="O30" s="292"/>
      <c r="P30" s="109">
        <v>5888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489738</v>
      </c>
      <c r="AU30" s="113"/>
      <c r="AV30" s="311"/>
      <c r="AW30" s="318"/>
    </row>
    <row r="31" spans="2:49" s="5" customFormat="1" ht="25.5" x14ac:dyDescent="0.2">
      <c r="B31" s="178" t="s">
        <v>84</v>
      </c>
      <c r="C31" s="133"/>
      <c r="D31" s="293"/>
      <c r="E31" s="110"/>
      <c r="F31" s="110"/>
      <c r="G31" s="110"/>
      <c r="H31" s="110"/>
      <c r="I31" s="109"/>
      <c r="J31" s="293"/>
      <c r="K31" s="110">
        <v>91869.61</v>
      </c>
      <c r="L31" s="110"/>
      <c r="M31" s="110"/>
      <c r="N31" s="110"/>
      <c r="O31" s="109"/>
      <c r="P31" s="293"/>
      <c r="Q31" s="110">
        <v>-77629.55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642049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39054075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1950756</v>
      </c>
      <c r="AU34" s="113"/>
      <c r="AV34" s="311"/>
      <c r="AW34" s="318"/>
    </row>
    <row r="35" spans="2:49" s="5" customFormat="1" x14ac:dyDescent="0.2">
      <c r="B35" s="178" t="s">
        <v>91</v>
      </c>
      <c r="C35" s="133"/>
      <c r="D35" s="293"/>
      <c r="E35" s="110">
        <v>39054075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38527266</v>
      </c>
      <c r="E36" s="110">
        <v>38527266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916451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25941</v>
      </c>
      <c r="K38" s="288"/>
      <c r="L38" s="288"/>
      <c r="M38" s="288"/>
      <c r="N38" s="288"/>
      <c r="O38" s="292"/>
      <c r="P38" s="109">
        <v>348417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10142106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-2000961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-33279275.999999996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17897.23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3186805.0000000005</v>
      </c>
      <c r="E43" s="289"/>
      <c r="F43" s="289"/>
      <c r="G43" s="289"/>
      <c r="H43" s="289"/>
      <c r="I43" s="293"/>
      <c r="J43" s="109">
        <v>24795</v>
      </c>
      <c r="K43" s="289"/>
      <c r="L43" s="289"/>
      <c r="M43" s="289"/>
      <c r="N43" s="289"/>
      <c r="O43" s="293"/>
      <c r="P43" s="109">
        <v>1156500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-27981977</v>
      </c>
      <c r="AT43" s="113">
        <v>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598846</v>
      </c>
      <c r="E49" s="110">
        <v>2327850.86</v>
      </c>
      <c r="F49" s="110"/>
      <c r="G49" s="110"/>
      <c r="H49" s="110"/>
      <c r="I49" s="109">
        <v>780602</v>
      </c>
      <c r="J49" s="109">
        <v>721635</v>
      </c>
      <c r="K49" s="110">
        <v>2752275.8013243326</v>
      </c>
      <c r="L49" s="110"/>
      <c r="M49" s="110"/>
      <c r="N49" s="110"/>
      <c r="O49" s="109"/>
      <c r="P49" s="109">
        <v>239686</v>
      </c>
      <c r="Q49" s="110">
        <v>1113729.9086756669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36680656</v>
      </c>
      <c r="AT49" s="113">
        <v>15807</v>
      </c>
      <c r="AU49" s="113"/>
      <c r="AV49" s="311"/>
      <c r="AW49" s="318"/>
    </row>
    <row r="50" spans="2:49" x14ac:dyDescent="0.2">
      <c r="B50" s="176" t="s">
        <v>119</v>
      </c>
      <c r="C50" s="133" t="s">
        <v>34</v>
      </c>
      <c r="D50" s="109">
        <v>863247.00000000012</v>
      </c>
      <c r="E50" s="289"/>
      <c r="F50" s="289"/>
      <c r="G50" s="289"/>
      <c r="H50" s="289"/>
      <c r="I50" s="293"/>
      <c r="J50" s="109">
        <v>128656</v>
      </c>
      <c r="K50" s="289"/>
      <c r="L50" s="289"/>
      <c r="M50" s="289"/>
      <c r="N50" s="289"/>
      <c r="O50" s="293"/>
      <c r="P50" s="109">
        <v>557642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17089342</v>
      </c>
      <c r="AT50" s="113">
        <v>4188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-303783</v>
      </c>
      <c r="L53" s="110"/>
      <c r="M53" s="110"/>
      <c r="N53" s="110"/>
      <c r="O53" s="109"/>
      <c r="P53" s="109"/>
      <c r="Q53" s="110">
        <v>-430094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231804493</v>
      </c>
      <c r="E54" s="115">
        <f>E24+E27+E31+E35-E36+E39+E42+E45+E46-E49+E51+E52+E53</f>
        <v>235618617.30400002</v>
      </c>
      <c r="F54" s="115">
        <f>F24+F27+F31+F35-F36+F39+F42+F45+F46-F49+F51+F52+F53</f>
        <v>0</v>
      </c>
      <c r="G54" s="115">
        <f>G24+G27+G31+G35-G36+G39+G42+G45+G46-G49+G51+G52+G53</f>
        <v>0</v>
      </c>
      <c r="H54" s="115">
        <f>H24+H27+H31+H35-H36+H39+H42+H45+H46-H49+H51+H52+H53</f>
        <v>0</v>
      </c>
      <c r="I54" s="114">
        <f>I24+I27+I31+I35-I36+I39+I42+I45+I46-I49+I51+I52+I53</f>
        <v>98685597</v>
      </c>
      <c r="J54" s="114">
        <f>J23+J26-J28+J30-J32+J34-J36+J38+J41-J43+J45+J46-J47-J49+J50+J51+J52+J53</f>
        <v>208548095</v>
      </c>
      <c r="K54" s="115">
        <f>K24+K27+K31+K35-K36+K39+K42+K45+K46-K49+K51+K52+K53</f>
        <v>132834139.69578877</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104127740</v>
      </c>
      <c r="Q54" s="115">
        <f>Q24+Q27+Q31+Q35-Q36+Q39+Q42+Q45+Q46-Q49+Q51+Q52+Q53</f>
        <v>56006966.8095112</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1708500290</v>
      </c>
      <c r="AT54" s="116">
        <f>AT23+AT26-AT28+AT30-AT32+AT34-AT36+AT38+AT41-AT43+AT45+AT46-AT47-AT49+AT50+AT51+AT52+AT53</f>
        <v>27545937</v>
      </c>
      <c r="AU54" s="116">
        <f>AU23+AU26-AU28+AU30-AU32+AU34-AU36+AU38+AU41-AU43+AU45+AU46-AU47-AU49+AU50+AU51+AU52+AU53</f>
        <v>0</v>
      </c>
      <c r="AV54" s="311"/>
      <c r="AW54" s="318"/>
    </row>
    <row r="55" spans="2:49" ht="25.5" x14ac:dyDescent="0.2">
      <c r="B55" s="181" t="s">
        <v>304</v>
      </c>
      <c r="C55" s="137" t="s">
        <v>28</v>
      </c>
      <c r="D55" s="114">
        <f t="shared" ref="D55:AC55" si="0">MIN(MAX(0,D56),MAX(0,D57))</f>
        <v>411318</v>
      </c>
      <c r="E55" s="115">
        <f t="shared" si="0"/>
        <v>407764.31</v>
      </c>
      <c r="F55" s="115">
        <f t="shared" si="0"/>
        <v>0</v>
      </c>
      <c r="G55" s="115">
        <f t="shared" si="0"/>
        <v>0</v>
      </c>
      <c r="H55" s="115">
        <f t="shared" si="0"/>
        <v>0</v>
      </c>
      <c r="I55" s="114">
        <f t="shared" si="0"/>
        <v>12001</v>
      </c>
      <c r="J55" s="114">
        <f t="shared" si="0"/>
        <v>305324</v>
      </c>
      <c r="K55" s="115">
        <f t="shared" si="0"/>
        <v>302112.61</v>
      </c>
      <c r="L55" s="115">
        <f t="shared" si="0"/>
        <v>0</v>
      </c>
      <c r="M55" s="115">
        <f t="shared" si="0"/>
        <v>0</v>
      </c>
      <c r="N55" s="115">
        <f t="shared" si="0"/>
        <v>0</v>
      </c>
      <c r="O55" s="114">
        <f t="shared" si="0"/>
        <v>0</v>
      </c>
      <c r="P55" s="114">
        <f t="shared" si="0"/>
        <v>157420</v>
      </c>
      <c r="Q55" s="115">
        <f t="shared" si="0"/>
        <v>156022.6</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411318</v>
      </c>
      <c r="E56" s="110">
        <v>407764.31</v>
      </c>
      <c r="F56" s="110"/>
      <c r="G56" s="110"/>
      <c r="H56" s="110"/>
      <c r="I56" s="109">
        <v>70112</v>
      </c>
      <c r="J56" s="109">
        <v>305324</v>
      </c>
      <c r="K56" s="110">
        <v>302112.61</v>
      </c>
      <c r="L56" s="110"/>
      <c r="M56" s="110"/>
      <c r="N56" s="110"/>
      <c r="O56" s="109"/>
      <c r="P56" s="109">
        <v>157420</v>
      </c>
      <c r="Q56" s="110">
        <v>156022.6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666591</v>
      </c>
      <c r="E57" s="110">
        <v>666209.21</v>
      </c>
      <c r="F57" s="110"/>
      <c r="G57" s="110"/>
      <c r="H57" s="110"/>
      <c r="I57" s="109">
        <v>12001</v>
      </c>
      <c r="J57" s="109">
        <v>665384</v>
      </c>
      <c r="K57" s="110">
        <v>372152.76</v>
      </c>
      <c r="L57" s="110"/>
      <c r="M57" s="110"/>
      <c r="N57" s="110"/>
      <c r="O57" s="109"/>
      <c r="P57" s="109">
        <v>401252</v>
      </c>
      <c r="Q57" s="110">
        <v>250677.79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26932954</v>
      </c>
      <c r="AT57" s="113">
        <v>217384</v>
      </c>
      <c r="AU57" s="113"/>
      <c r="AV57" s="113"/>
      <c r="AW57" s="318"/>
    </row>
    <row r="58" spans="2:49" s="5" customFormat="1" x14ac:dyDescent="0.2">
      <c r="B58" s="184" t="s">
        <v>484</v>
      </c>
      <c r="C58" s="185"/>
      <c r="D58" s="186"/>
      <c r="E58" s="187">
        <v>2968523.1700000004</v>
      </c>
      <c r="F58" s="187"/>
      <c r="G58" s="187"/>
      <c r="H58" s="187"/>
      <c r="I58" s="186">
        <v>2968523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102290391.93000001</v>
      </c>
      <c r="D5" s="118">
        <v>147069951.98419997</v>
      </c>
      <c r="E5" s="346"/>
      <c r="F5" s="346"/>
      <c r="G5" s="312"/>
      <c r="H5" s="117">
        <v>153522822.93000001</v>
      </c>
      <c r="I5" s="118">
        <v>162907624.96489432</v>
      </c>
      <c r="J5" s="346"/>
      <c r="K5" s="346"/>
      <c r="L5" s="312"/>
      <c r="M5" s="117">
        <v>107733643.40000001</v>
      </c>
      <c r="N5" s="118">
        <v>105630008.13793533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102160168.47999999</v>
      </c>
      <c r="D6" s="110">
        <v>146613470.04559997</v>
      </c>
      <c r="E6" s="115">
        <f>SUM('Pt 1 Summary of Data'!E$12,'Pt 1 Summary of Data'!E$22)+SUM('Pt 1 Summary of Data'!G$12,'Pt 1 Summary of Data'!G$22)-SUM('Pt 1 Summary of Data'!H$12,'Pt 1 Summary of Data'!H$22)</f>
        <v>236026381.61400002</v>
      </c>
      <c r="F6" s="115">
        <f t="shared" ref="F6:F11" si="0">SUM(C6:E6)</f>
        <v>484800020.13959998</v>
      </c>
      <c r="G6" s="116">
        <f>SUM('Pt 1 Summary of Data'!I$12,'Pt 1 Summary of Data'!I$22)</f>
        <v>98697598</v>
      </c>
      <c r="H6" s="109">
        <v>154224219.9883835</v>
      </c>
      <c r="I6" s="110">
        <v>163231082.14667353</v>
      </c>
      <c r="J6" s="115">
        <f>SUM('Pt 1 Summary of Data'!K$12,'Pt 1 Summary of Data'!K$22)+SUM('Pt 1 Summary of Data'!M$12,'Pt 1 Summary of Data'!M$22)-SUM('Pt 1 Summary of Data'!N$12,'Pt 1 Summary of Data'!N$22)</f>
        <v>133136252.30578877</v>
      </c>
      <c r="K6" s="115">
        <f>SUM(H6:J6)</f>
        <v>450591554.44084579</v>
      </c>
      <c r="L6" s="116">
        <f>SUM('Pt 1 Summary of Data'!O$12,'Pt 1 Summary of Data'!O$22)</f>
        <v>0</v>
      </c>
      <c r="M6" s="109">
        <v>101989705.7016165</v>
      </c>
      <c r="N6" s="110">
        <v>105425262.89095604</v>
      </c>
      <c r="O6" s="115">
        <f>SUM('Pt 1 Summary of Data'!Q$12,'Pt 1 Summary of Data'!Q$22)+SUM('Pt 1 Summary of Data'!S$12,'Pt 1 Summary of Data'!S$22)-SUM('Pt 1 Summary of Data'!T$12,'Pt 1 Summary of Data'!T$22)</f>
        <v>56162989.409511201</v>
      </c>
      <c r="P6" s="115">
        <f>SUM(M6:O6)</f>
        <v>263577958.00208375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3200994.03</v>
      </c>
      <c r="D7" s="110">
        <v>4052937.91</v>
      </c>
      <c r="E7" s="115">
        <f>SUM('Pt 1 Summary of Data'!E$37:E$41)+SUM('Pt 1 Summary of Data'!G$37:G$41)-SUM('Pt 1 Summary of Data'!H$37:H$41)+MAX(0,MIN('Pt 1 Summary of Data'!E$42+'Pt 1 Summary of Data'!G$42-'Pt 1 Summary of Data'!H$42,0.3%*('Pt 1 Summary of Data'!E$5+'Pt 1 Summary of Data'!G$5-'Pt 1 Summary of Data'!H$5-SUM(E$9:E$11))))</f>
        <v>3788831.3899999997</v>
      </c>
      <c r="F7" s="115">
        <f t="shared" si="0"/>
        <v>11042763.329999998</v>
      </c>
      <c r="G7" s="116">
        <f>SUM('Pt 1 Summary of Data'!I$37:I$41)+MAX(0,MIN('Pt 1 Summary of Data'!I$42,0.3%*('Pt 1 Summary of Data'!I$5-SUM(G$9:G$10))))</f>
        <v>500613</v>
      </c>
      <c r="H7" s="109">
        <v>3888001.6199999996</v>
      </c>
      <c r="I7" s="110">
        <v>3702600.6799999964</v>
      </c>
      <c r="J7" s="115">
        <f>SUM('Pt 1 Summary of Data'!K$37:K$41)+SUM('Pt 1 Summary of Data'!M$37:M$41)-SUM('Pt 1 Summary of Data'!N$37:N$41)+MAX(0,MIN('Pt 1 Summary of Data'!K$42+'Pt 1 Summary of Data'!M$42-'Pt 1 Summary of Data'!N$42,0.3%*('Pt 1 Summary of Data'!K$5+'Pt 1 Summary of Data'!M$5-'Pt 1 Summary of Data'!N$5-SUM(J$10:J$11))))</f>
        <v>2870986.5</v>
      </c>
      <c r="K7" s="115">
        <f>SUM(H7:J7)</f>
        <v>10461588.799999997</v>
      </c>
      <c r="L7" s="116">
        <f>SUM('Pt 1 Summary of Data'!O$37:O$41)+MAX(0,MIN('Pt 1 Summary of Data'!O$42,0.3%*('Pt 1 Summary of Data'!O$5-L$10)))</f>
        <v>0</v>
      </c>
      <c r="M7" s="109">
        <v>2760434.75</v>
      </c>
      <c r="N7" s="110">
        <v>2398101.5500000003</v>
      </c>
      <c r="O7" s="115">
        <f>SUM('Pt 1 Summary of Data'!Q$37:Q$41)+SUM('Pt 1 Summary of Data'!S$37:S$41)-SUM('Pt 1 Summary of Data'!T$37:T$41)+MAX(0,MIN('Pt 1 Summary of Data'!Q$42+'Pt 1 Summary of Data'!S$42-'Pt 1 Summary of Data'!T$42,0.3%*('Pt 1 Summary of Data'!Q$5+'Pt 1 Summary of Data'!S$5-'Pt 1 Summary of Data'!T$5)))</f>
        <v>1349067.7100000002</v>
      </c>
      <c r="P7" s="115">
        <f>SUM(M7:O7)</f>
        <v>6507604.0100000007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2968523.1700000004</v>
      </c>
      <c r="F8" s="269">
        <f t="shared" si="0"/>
        <v>2968523.1700000004</v>
      </c>
      <c r="G8" s="270">
        <v>2968523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21797558.589999992</v>
      </c>
      <c r="F9" s="115">
        <f t="shared" si="0"/>
        <v>21797558.589999992</v>
      </c>
      <c r="G9" s="116">
        <f>'Pt 2 Premium and Claims'!I$15</f>
        <v>21797559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5252230.8499999996</v>
      </c>
      <c r="F10" s="115">
        <f t="shared" si="0"/>
        <v>5252230.8499999996</v>
      </c>
      <c r="G10" s="116">
        <f>'Pt 2 Premium and Claims'!I$16</f>
        <v>5252231</v>
      </c>
      <c r="H10" s="292"/>
      <c r="I10" s="288"/>
      <c r="J10" s="115">
        <f>'Pt 2 Premium and Claims'!K$16+'Pt 2 Premium and Claims'!M$16-'Pt 2 Premium and Claims'!N$16</f>
        <v>-1054938.24</v>
      </c>
      <c r="K10" s="115">
        <f>SUM(H10:J10)</f>
        <v>-1054938.24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4710361</v>
      </c>
      <c r="F11" s="115">
        <f t="shared" si="0"/>
        <v>4710361</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105361162.50999999</v>
      </c>
      <c r="D12" s="115">
        <f>SUM(D$6:D$7)+IF(AND(OR('Company Information'!$C$12="District of Columbia",'Company Information'!$C$12="Massachusetts",'Company Information'!$C$12="Vermont"),SUM($C$6:$F$11,$C$15:$F$16,$C$37:$D$37)&lt;&gt;0),SUM(I$6:I$7),0)</f>
        <v>150666407.95559996</v>
      </c>
      <c r="E12" s="115">
        <f>SUM(E$6:E$7)-SUM(E$8:E$11)+IF(AND(OR('Company Information'!$C$12="District of Columbia",'Company Information'!$C$12="Massachusetts",'Company Information'!$C$12="Vermont"),SUM($C$6:$F$11,$C$15:$F$16,$C$37:$D$37)&lt;&gt;0),SUM(J$6:J$7)-SUM(J$10:J$11),0)</f>
        <v>205086539.39400002</v>
      </c>
      <c r="F12" s="115">
        <f>IFERROR(SUM(C$12:E$12)+C$17*MAX(0,E$49-C$49)+D$17*MAX(0,E$49-D$49),0)</f>
        <v>461114109.85959995</v>
      </c>
      <c r="G12" s="311"/>
      <c r="H12" s="114">
        <f>SUM(H$6:H$7)+IF(AND(OR('Company Information'!$C$12="District of Columbia",'Company Information'!$C$12="Massachusetts",'Company Information'!$C$12="Vermont"),SUM($H$6:$K$11,$H$15:$K$16,$H$37:$I$37)&lt;&gt;0),SUM(C$6:C$7),0)</f>
        <v>158112221.60838351</v>
      </c>
      <c r="I12" s="115">
        <f>SUM(I$6:I$7)+IF(AND(OR('Company Information'!$C$12="District of Columbia",'Company Information'!$C$12="Massachusetts",'Company Information'!$C$12="Vermont"),SUM($H$6:$K$11,$H$15:$K$16,$H$37:$I$37)&lt;&gt;0),SUM(D$6:D$7),0)</f>
        <v>166933682.82667354</v>
      </c>
      <c r="J12" s="115">
        <f>SUM(J$6:J$7)-SUM(J$10:J$11)+IF(AND(OR('Company Information'!$C$12="District of Columbia",'Company Information'!$C$12="Massachusetts",'Company Information'!$C$12="Vermont"),SUM($H$6:$K$11,$H$15:$K$16,$H$37:$I$37)&lt;&gt;0),SUM(E$6:E$7)-SUM(E$8:E$11),0)</f>
        <v>137062177.04578876</v>
      </c>
      <c r="K12" s="115">
        <f>IFERROR(SUM(H$12:J$12)+H$17*MAX(0,J$49-H$49)+I$17*MAX(0,J$49-I$49),0)</f>
        <v>462108081.48084581</v>
      </c>
      <c r="L12" s="311"/>
      <c r="M12" s="114">
        <f>SUM(M$6:M$7)</f>
        <v>104750140.4516165</v>
      </c>
      <c r="N12" s="115">
        <f>SUM(N$6:N$7)</f>
        <v>107823364.44095604</v>
      </c>
      <c r="O12" s="115">
        <f>SUM(O$6:O$7)</f>
        <v>57512057.119511202</v>
      </c>
      <c r="P12" s="115">
        <f>SUM(M$12:O$12)+M$17*MAX(0,O$49-M$49)+N$17*MAX(0,O$49-N$49)</f>
        <v>270085562.01208371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148777975.62</v>
      </c>
      <c r="D15" s="118">
        <v>180591964.33091798</v>
      </c>
      <c r="E15" s="106">
        <f>SUM('Pt 1 Summary of Data'!E$5:E$7)+SUM('Pt 1 Summary of Data'!G$5:G$7)-SUM('Pt 1 Summary of Data'!H$5:H$7)-SUM(E$9:E$11)+D$55</f>
        <v>226065499.81958026</v>
      </c>
      <c r="F15" s="106">
        <f>SUM(C15:E15)</f>
        <v>555435439.77049828</v>
      </c>
      <c r="G15" s="107">
        <f>SUM('Pt 1 Summary of Data'!I$5:I$7)-SUM(G$9:G$10)</f>
        <v>54754158</v>
      </c>
      <c r="H15" s="117">
        <v>205294395.43000001</v>
      </c>
      <c r="I15" s="118">
        <v>203688303.46762192</v>
      </c>
      <c r="J15" s="106">
        <f>SUM('Pt 1 Summary of Data'!K$5:K$7)+SUM('Pt 1 Summary of Data'!M$5:M$7)-SUM('Pt 1 Summary of Data'!N$5:N$7)-SUM(J$10:J$11)+I$55</f>
        <v>173463721.56559634</v>
      </c>
      <c r="K15" s="106">
        <f>SUM(H15:J15)</f>
        <v>582446420.46321821</v>
      </c>
      <c r="L15" s="107">
        <f>SUM('Pt 1 Summary of Data'!O$5:O$7)-L$10</f>
        <v>0</v>
      </c>
      <c r="M15" s="117">
        <v>132198669.38000001</v>
      </c>
      <c r="N15" s="118">
        <v>128667148.04228942</v>
      </c>
      <c r="O15" s="106">
        <f>SUM('Pt 1 Summary of Data'!Q$5:Q$7)+SUM('Pt 1 Summary of Data'!S$5:S$7)-SUM('Pt 1 Summary of Data'!T$5:T$7)+N$55</f>
        <v>71918046.469220698</v>
      </c>
      <c r="P15" s="106">
        <f>SUM(M15:O15)</f>
        <v>332783863.89151013</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6045487.2700000005</v>
      </c>
      <c r="D16" s="110">
        <v>1951597.20963464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5428440.8590398859</v>
      </c>
      <c r="F16" s="115">
        <f>SUM(C16:E16)</f>
        <v>13425525.338674527</v>
      </c>
      <c r="G16" s="116">
        <f>SUM('Pt 1 Summary of Data'!I$25:I$28,'Pt 1 Summary of Data'!I$30,'Pt 1 Summary of Data'!I$34:I$35)+IF('Company Information'!$C$15="No",IF(MAX('Pt 1 Summary of Data'!I$31:I$32)=0,MIN('Pt 1 Summary of Data'!I$31:I$32),MAX('Pt 1 Summary of Data'!I$31:I$32)),SUM('Pt 1 Summary of Data'!I$31:I$32))</f>
        <v>-382421</v>
      </c>
      <c r="H16" s="109">
        <v>9294097.5600000005</v>
      </c>
      <c r="I16" s="110">
        <v>8148532.072519714</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14076007.779657921</v>
      </c>
      <c r="K16" s="115">
        <f>SUM(H16:J16)</f>
        <v>31518637.412177637</v>
      </c>
      <c r="L16" s="116">
        <f>SUM('Pt 1 Summary of Data'!O$25:O$28,'Pt 1 Summary of Data'!O$30,'Pt 1 Summary of Data'!O$34:O$35)+IF('Company Information'!$C$15="No",IF(MAX('Pt 1 Summary of Data'!O$31:O$32)=0,MIN('Pt 1 Summary of Data'!O$31:O$32),MAX('Pt 1 Summary of Data'!O$31:O$32)),SUM('Pt 1 Summary of Data'!O$31:O$32))</f>
        <v>0</v>
      </c>
      <c r="M16" s="109">
        <v>906841.14000000013</v>
      </c>
      <c r="N16" s="110">
        <v>2933248.7487880248</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1389227.1114092495</v>
      </c>
      <c r="P16" s="115">
        <f>SUM(M16:O16)</f>
        <v>5229317.0001972746</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142732488.34999999</v>
      </c>
      <c r="D17" s="115">
        <f>D$15-D$16+IF(AND(OR('Company Information'!$C$12="District of Columbia",'Company Information'!$C$12="Massachusetts",'Company Information'!$C$12="Vermont"),SUM($C$6:$F$11,$C$15:$F$16,$C$37:$D$37)&lt;&gt;0),I$15-I$16,0)</f>
        <v>178640367.12128335</v>
      </c>
      <c r="E17" s="115">
        <f>E$15-E$16+IF(AND(OR('Company Information'!$C$12="District of Columbia",'Company Information'!$C$12="Massachusetts",'Company Information'!$C$12="Vermont"),SUM($C$6:$F$11,$C$15:$F$16,$C$37:$D$37)&lt;&gt;0),J$15-J$16,0)</f>
        <v>220637058.96054038</v>
      </c>
      <c r="F17" s="115">
        <f>F$15-F$16+IF(AND(OR('Company Information'!$C$12="District of Columbia",'Company Information'!$C$12="Massachusetts",'Company Information'!$C$12="Vermont"),SUM($C$6:$F$11,$C$15:$F$16,$C$37:$D$37)&lt;&gt;0),K$15-K$16,0)</f>
        <v>542009914.43182373</v>
      </c>
      <c r="G17" s="314"/>
      <c r="H17" s="114">
        <f>H$15-H$16+IF(AND(OR('Company Information'!$C$12="District of Columbia",'Company Information'!$C$12="Massachusetts",'Company Information'!$C$12="Vermont"),SUM($H$6:$K$11,$H$15:$K$16,$H$37:$I$37)&lt;&gt;0),C$15-C$16,0)</f>
        <v>196000297.87</v>
      </c>
      <c r="I17" s="115">
        <f>I$15-I$16+IF(AND(OR('Company Information'!$C$12="District of Columbia",'Company Information'!$C$12="Massachusetts",'Company Information'!$C$12="Vermont"),SUM($H$6:$K$11,$H$15:$K$16,$H$37:$I$37)&lt;&gt;0),D$15-D$16,0)</f>
        <v>195539771.3951022</v>
      </c>
      <c r="J17" s="115">
        <f>J$15-J$16+IF(AND(OR('Company Information'!$C$12="District of Columbia",'Company Information'!$C$12="Massachusetts",'Company Information'!$C$12="Vermont"),SUM($H$6:$K$11,$H$15:$K$16,$H$37:$I$37)&lt;&gt;0),E$15-E$16,0)</f>
        <v>159387713.78593841</v>
      </c>
      <c r="K17" s="115">
        <f>K$15-K$16+IF(AND(OR('Company Information'!$C$12="District of Columbia",'Company Information'!$C$12="Massachusetts",'Company Information'!$C$12="Vermont"),SUM($H$6:$K$11,$H$15:$K$16,$H$37:$I$37)&lt;&gt;0),F$15-F$16,0)</f>
        <v>550927783.05104053</v>
      </c>
      <c r="L17" s="314"/>
      <c r="M17" s="114">
        <f>M$15-M$16</f>
        <v>131291828.24000001</v>
      </c>
      <c r="N17" s="115">
        <f>N$15-N$16</f>
        <v>125733899.29350139</v>
      </c>
      <c r="O17" s="115">
        <f>O$15-O$16</f>
        <v>70528819.357811451</v>
      </c>
      <c r="P17" s="115">
        <f>P$15-P$16</f>
        <v>327554546.89131284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69179898</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9682171</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1.2547005863385177</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3.0599999999999999E-2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3341276.6874000002</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-23725490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3341276.6874000002</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12332074.1174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12641026.6874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12332074.1174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10644894.800000001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42422083.882600002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10644894.800000001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44109263.200000003</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1.5683757329231469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18336247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4710361</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70205.083333333328</v>
      </c>
      <c r="D37" s="122">
        <v>88049</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96073</v>
      </c>
      <c r="F37" s="256">
        <f>SUM(C$37:E$37)+IF(AND(OR('Company Information'!$C$12="District of Columbia",'Company Information'!$C$12="Massachusetts",'Company Information'!$C$12="Vermont"),SUM($C$6:$F$11,$C$15:$F$16,$C$37:$D$37)&lt;&gt;0,SUM(C$37:D$37)&lt;&gt;SUM(H$37:I$37)),SUM(H$37:I$37),0)</f>
        <v>254327.08333333331</v>
      </c>
      <c r="G37" s="312"/>
      <c r="H37" s="121">
        <v>44283.083333333336</v>
      </c>
      <c r="I37" s="122">
        <v>43371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34105.833333333336</v>
      </c>
      <c r="K37" s="256">
        <f>SUM(H$37:J$37)+IF(AND(OR('Company Information'!$C$12="District of Columbia",'Company Information'!$C$12="Massachusetts",'Company Information'!$C$12="Vermont"),SUM($H$6:$K$11,$H$15:$K$16,$H$37:$I$37)&lt;&gt;0,SUM(H$37:I$37)&lt;&gt;SUM(C$37:D$37)),SUM(C$37:D$37),0)</f>
        <v>121759.91666666669</v>
      </c>
      <c r="L37" s="312"/>
      <c r="M37" s="121">
        <v>35822.666666666664</v>
      </c>
      <c r="N37" s="122">
        <v>35050</v>
      </c>
      <c r="O37" s="256">
        <f>('Pt 1 Summary of Data'!Q$59+'Pt 1 Summary of Data'!S$59-'Pt 1 Summary of Data'!T$59)/12</f>
        <v>16172.916666666666</v>
      </c>
      <c r="P37" s="256">
        <f>SUM(M$37:O$37)</f>
        <v>87045.583333333328</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4629.6229679960979</v>
      </c>
      <c r="G39" s="311"/>
      <c r="H39" s="292"/>
      <c r="I39" s="288"/>
      <c r="J39" s="288"/>
      <c r="K39" s="110">
        <v>2506.1716966790805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1.3667401065532285</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1.1645875455238484</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0.7381722530587409</v>
      </c>
      <c r="D44" s="260">
        <f>IF(OR(D$37&lt;1000,D$17&lt;=0),"",D$12/D$17)</f>
        <v>0.84340628259742001</v>
      </c>
      <c r="E44" s="260">
        <f>IF(OR(E$37&lt;1000,E$17&lt;=0),"",E$12/E$17)</f>
        <v>0.92951991093517305</v>
      </c>
      <c r="F44" s="260">
        <f>IF(OR(F$37&lt;1000,F$17&lt;=0),"",F$12/F$17)</f>
        <v>0.85074847817677846</v>
      </c>
      <c r="G44" s="311"/>
      <c r="H44" s="262">
        <f>IF(OR(H$37&lt;1000,H$17&lt;=0),"",H$12/H$17)</f>
        <v>0.8066937822372785</v>
      </c>
      <c r="I44" s="260">
        <f>IF(OR(I$37&lt;1000,I$17&lt;=0),"",I$12/I$17)</f>
        <v>0.85370705731966923</v>
      </c>
      <c r="J44" s="260">
        <f>IF(OR(J$37&lt;1000,J$17&lt;=0),"",J$12/J$17)</f>
        <v>0.8599293746685307</v>
      </c>
      <c r="K44" s="260">
        <f>IF(OR(K$37&lt;1000,K$17&lt;=0),"",K$12/K$17)</f>
        <v>0.83878158934314251</v>
      </c>
      <c r="L44" s="311"/>
      <c r="M44" s="262">
        <f>IF(OR(M$37&lt;1000,M$17&lt;=0),"",M$12/M$17)</f>
        <v>0.79784204284317217</v>
      </c>
      <c r="N44" s="260">
        <f>IF(OR(N$37&lt;1000,N$17&lt;=0),"",N$12/N$17)</f>
        <v>0.85755206071564927</v>
      </c>
      <c r="O44" s="260">
        <f>IF(OR(O$37&lt;1000,O$17&lt;=0),"",O$12/O$17)</f>
        <v>0.81544051982122723</v>
      </c>
      <c r="P44" s="260">
        <f>IF(OR(P$37&lt;1000,P$17&lt;=0),"",P$12/P$17)</f>
        <v>0.82455140548454009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0.85099999999999998</v>
      </c>
      <c r="G47" s="311"/>
      <c r="H47" s="292"/>
      <c r="I47" s="288"/>
      <c r="J47" s="288"/>
      <c r="K47" s="260">
        <f>IF(K$44="","",ROUND(K$44+MAX(0,K$46),3))</f>
        <v>0.83899999999999997</v>
      </c>
      <c r="L47" s="311"/>
      <c r="M47" s="292"/>
      <c r="N47" s="288"/>
      <c r="O47" s="288"/>
      <c r="P47" s="260">
        <f>IF(P$44="","",ROUND(P$44+MAX(0,P$46),3))</f>
        <v>0.82499999999999996</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2060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0.85099999999999998</v>
      </c>
      <c r="G50" s="311"/>
      <c r="H50" s="293"/>
      <c r="I50" s="289"/>
      <c r="J50" s="289"/>
      <c r="K50" s="260">
        <f>K$47</f>
        <v>0.83899999999999997</v>
      </c>
      <c r="L50" s="311"/>
      <c r="M50" s="293"/>
      <c r="N50" s="289"/>
      <c r="O50" s="289"/>
      <c r="P50" s="260">
        <f>P$47</f>
        <v>0.82499999999999996</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220637058.96054038</v>
      </c>
      <c r="G51" s="311"/>
      <c r="H51" s="292"/>
      <c r="I51" s="288"/>
      <c r="J51" s="288"/>
      <c r="K51" s="115">
        <f>IF(K$37&lt;1000,"",MAX(0,J$15-J$16))</f>
        <v>159387713.78593841</v>
      </c>
      <c r="L51" s="311"/>
      <c r="M51" s="292"/>
      <c r="N51" s="288"/>
      <c r="O51" s="288"/>
      <c r="P51" s="115">
        <f>IF(P$37&lt;1000,"",MAX(0,O$15-O$16))</f>
        <v>70528819.357811451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1763220.4839452878</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795353.79527930496</v>
      </c>
      <c r="E55" s="288"/>
      <c r="F55" s="288"/>
      <c r="G55" s="311"/>
      <c r="H55" s="292"/>
      <c r="I55" s="110">
        <v>1278081.6109582656</v>
      </c>
      <c r="J55" s="288"/>
      <c r="K55" s="288"/>
      <c r="L55" s="311"/>
      <c r="M55" s="292"/>
      <c r="N55" s="110">
        <v>349354.40083828627</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8499.0914568616827</v>
      </c>
      <c r="E56" s="288"/>
      <c r="F56" s="288"/>
      <c r="G56" s="311"/>
      <c r="H56" s="292"/>
      <c r="I56" s="110">
        <v>50591.947020588632</v>
      </c>
      <c r="J56" s="288"/>
      <c r="K56" s="288"/>
      <c r="L56" s="311"/>
      <c r="M56" s="292"/>
      <c r="N56" s="110">
        <v>7863.1533540387691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47408</v>
      </c>
      <c r="D4" s="149">
        <f>'Pt 1 Summary of Data'!$K$56+'Pt 1 Summary of Data'!$M$56-'Pt 1 Summary of Data'!$N$56</f>
        <v>18092</v>
      </c>
      <c r="E4" s="149">
        <f>'Pt 1 Summary of Data'!$Q$56+'Pt 1 Summary of Data'!$S$56-'Pt 1 Summary of Data'!$T$56</f>
        <v>7954</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112</v>
      </c>
      <c r="F6" s="363"/>
      <c r="G6" s="123"/>
      <c r="H6" s="123"/>
      <c r="I6" s="363"/>
      <c r="J6" s="363"/>
      <c r="K6" s="372"/>
    </row>
    <row r="7" spans="2:11" x14ac:dyDescent="0.2">
      <c r="B7" s="155" t="s">
        <v>102</v>
      </c>
      <c r="C7" s="124"/>
      <c r="D7" s="126"/>
      <c r="E7" s="126">
        <v>126</v>
      </c>
      <c r="F7" s="126"/>
      <c r="G7" s="126"/>
      <c r="H7" s="126"/>
      <c r="I7" s="374"/>
      <c r="J7" s="374"/>
      <c r="K7" s="209"/>
    </row>
    <row r="8" spans="2:11" x14ac:dyDescent="0.2">
      <c r="B8" s="155" t="s">
        <v>103</v>
      </c>
      <c r="C8" s="361"/>
      <c r="D8" s="126"/>
      <c r="E8" s="126">
        <v>3</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1763220.4839452878</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v>791.15</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1763220.48</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251467.798587003</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4594.53</v>
      </c>
      <c r="F22" s="212"/>
      <c r="G22" s="212"/>
      <c r="H22" s="212"/>
      <c r="I22" s="359"/>
      <c r="J22" s="359"/>
      <c r="K22" s="368"/>
    </row>
    <row r="23" spans="2:12" s="5" customFormat="1" ht="100.15" customHeight="1" x14ac:dyDescent="0.2">
      <c r="B23" s="102" t="s">
        <v>212</v>
      </c>
      <c r="C23" s="381" t="s">
        <v>511</v>
      </c>
      <c r="D23" s="382"/>
      <c r="E23" s="382"/>
      <c r="F23" s="382"/>
      <c r="G23" s="382"/>
      <c r="H23" s="382"/>
      <c r="I23" s="382"/>
      <c r="J23" s="382"/>
      <c r="K23" s="383"/>
    </row>
    <row r="24" spans="2:12" s="5" customFormat="1" ht="100.15" customHeight="1" x14ac:dyDescent="0.2">
      <c r="B24" s="101" t="s">
        <v>213</v>
      </c>
      <c r="C24" s="384" t="s">
        <v>512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