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Z45" i="10"/>
  <c r="Y45" i="10"/>
  <c r="X45" i="10"/>
  <c r="X47" i="10" s="1"/>
  <c r="X50" i="10" s="1"/>
  <c r="W45" i="10"/>
  <c r="V45" i="10"/>
  <c r="U45" i="10"/>
  <c r="T45" i="10"/>
  <c r="T46" i="10" s="1"/>
  <c r="S45" i="10"/>
  <c r="R45" i="10"/>
  <c r="Q45" i="10"/>
  <c r="P44" i="10"/>
  <c r="O44" i="10"/>
  <c r="N44" i="10"/>
  <c r="M44" i="10"/>
  <c r="AB41" i="10"/>
  <c r="X41" i="10"/>
  <c r="T41" i="10"/>
  <c r="AB40" i="10"/>
  <c r="X40" i="10"/>
  <c r="T40" i="10"/>
  <c r="P40" i="10"/>
  <c r="K40" i="10"/>
  <c r="F40" i="10"/>
  <c r="AB38" i="10"/>
  <c r="P38" i="10"/>
  <c r="AB37" i="10"/>
  <c r="AA37" i="10"/>
  <c r="X37" i="10"/>
  <c r="W37" i="10"/>
  <c r="T37" i="10"/>
  <c r="S37" i="10"/>
  <c r="P37" i="10"/>
  <c r="O37" i="10"/>
  <c r="L29" i="10"/>
  <c r="L28" i="10"/>
  <c r="L25" i="10"/>
  <c r="L24" i="10"/>
  <c r="L21" i="10"/>
  <c r="L20" i="10"/>
  <c r="L19" i="10"/>
  <c r="AB17" i="10"/>
  <c r="AA17" i="10"/>
  <c r="Z17" i="10"/>
  <c r="Y17" i="10"/>
  <c r="X17" i="10"/>
  <c r="W17" i="10"/>
  <c r="V17" i="10"/>
  <c r="U17" i="10"/>
  <c r="T17" i="10"/>
  <c r="S17" i="10"/>
  <c r="R17" i="10"/>
  <c r="Q17" i="10"/>
  <c r="P17" i="10"/>
  <c r="O17" i="10"/>
  <c r="N17" i="10"/>
  <c r="M17" i="10"/>
  <c r="AB16" i="10"/>
  <c r="AA16" i="10"/>
  <c r="X16" i="10"/>
  <c r="V13" i="10" s="1"/>
  <c r="W16" i="10"/>
  <c r="T16" i="10"/>
  <c r="S13" i="10" s="1"/>
  <c r="S16" i="10"/>
  <c r="Q13" i="10" s="1"/>
  <c r="P16" i="10"/>
  <c r="O16" i="10"/>
  <c r="L16" i="10"/>
  <c r="K16" i="10"/>
  <c r="J16" i="10"/>
  <c r="G16" i="10"/>
  <c r="F16" i="10"/>
  <c r="E16" i="10"/>
  <c r="AB15" i="10"/>
  <c r="AA15" i="10"/>
  <c r="X15" i="10"/>
  <c r="W15" i="10"/>
  <c r="T15" i="10"/>
  <c r="S15" i="10"/>
  <c r="R13" i="10" s="1"/>
  <c r="P15" i="10"/>
  <c r="O15" i="10"/>
  <c r="L15" i="10"/>
  <c r="AB13" i="10"/>
  <c r="AA13" i="10"/>
  <c r="Z13" i="10"/>
  <c r="Y13" i="10"/>
  <c r="X13" i="10"/>
  <c r="W13" i="10"/>
  <c r="U13" i="10"/>
  <c r="T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G7" i="10"/>
  <c r="AB6" i="10"/>
  <c r="AA6" i="10"/>
  <c r="X6" i="10"/>
  <c r="W6" i="10"/>
  <c r="T6" i="10"/>
  <c r="S6" i="10"/>
  <c r="P6" i="10"/>
  <c r="O6" i="10"/>
  <c r="L6" i="10"/>
  <c r="K6" i="10"/>
  <c r="J6" i="10"/>
  <c r="G6" i="10"/>
  <c r="F6" i="10"/>
  <c r="E6" i="10"/>
  <c r="AU55" i="18"/>
  <c r="AU22" i="4" s="1"/>
  <c r="AT55" i="18"/>
  <c r="AS55" i="18"/>
  <c r="AC55" i="18"/>
  <c r="AB55" i="18"/>
  <c r="AB22" i="4" s="1"/>
  <c r="AA55" i="18"/>
  <c r="AA22" i="4" s="1"/>
  <c r="Z55" i="18"/>
  <c r="Z22" i="4" s="1"/>
  <c r="Y55" i="18"/>
  <c r="X55" i="18"/>
  <c r="W55" i="18"/>
  <c r="V55" i="18"/>
  <c r="U55" i="18"/>
  <c r="T55" i="18"/>
  <c r="S55" i="18"/>
  <c r="R55" i="18"/>
  <c r="Q55" i="18"/>
  <c r="P55" i="18"/>
  <c r="O55" i="18"/>
  <c r="N55" i="18"/>
  <c r="M55" i="18"/>
  <c r="L55" i="18"/>
  <c r="L22" i="4" s="1"/>
  <c r="K55" i="18"/>
  <c r="J55" i="18"/>
  <c r="J22" i="4" s="1"/>
  <c r="I55" i="18"/>
  <c r="H55" i="18"/>
  <c r="G55" i="18"/>
  <c r="F55" i="18"/>
  <c r="E55" i="18"/>
  <c r="D55" i="18"/>
  <c r="AU54" i="18"/>
  <c r="AU12" i="4" s="1"/>
  <c r="AT54" i="18"/>
  <c r="AS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S22" i="4"/>
  <c r="AC22" i="4"/>
  <c r="Y22" i="4"/>
  <c r="X22" i="4"/>
  <c r="W22" i="4"/>
  <c r="V22" i="4"/>
  <c r="U22" i="4"/>
  <c r="T22" i="4"/>
  <c r="S22" i="4"/>
  <c r="R22" i="4"/>
  <c r="Q22" i="4"/>
  <c r="P22" i="4"/>
  <c r="O22" i="4"/>
  <c r="N22" i="4"/>
  <c r="M22" i="4"/>
  <c r="K22" i="4"/>
  <c r="I22" i="4"/>
  <c r="H22" i="4"/>
  <c r="G22" i="4"/>
  <c r="F22" i="4"/>
  <c r="E22" i="4"/>
  <c r="D22" i="4"/>
  <c r="AT12" i="4"/>
  <c r="AS12" i="4"/>
  <c r="AC12" i="4"/>
  <c r="AB12" i="4"/>
  <c r="AA12" i="4"/>
  <c r="Z12" i="4"/>
  <c r="Y12" i="4"/>
  <c r="X12" i="4"/>
  <c r="W12" i="4"/>
  <c r="V12" i="4"/>
  <c r="U12" i="4"/>
  <c r="T12" i="4"/>
  <c r="S12" i="4"/>
  <c r="R12" i="4"/>
  <c r="Q12" i="4"/>
  <c r="P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7" i="10" s="1"/>
  <c r="J5" i="4"/>
  <c r="I5" i="4"/>
  <c r="G15" i="10" s="1"/>
  <c r="H5" i="4"/>
  <c r="G5" i="4"/>
  <c r="E15" i="10" s="1"/>
  <c r="F5" i="4"/>
  <c r="E5" i="4"/>
  <c r="E7" i="10" s="1"/>
  <c r="D5" i="4"/>
  <c r="F7" i="10" l="1"/>
  <c r="C12" i="10" s="1"/>
  <c r="C17" i="10"/>
  <c r="D17" i="10"/>
  <c r="D12" i="10"/>
  <c r="F15" i="10"/>
  <c r="K7" i="10"/>
  <c r="J15" i="10"/>
  <c r="L23" i="10"/>
  <c r="L27" i="10" s="1"/>
  <c r="G20" i="10"/>
  <c r="G29" i="10"/>
  <c r="G19" i="10"/>
  <c r="G21" i="10"/>
  <c r="G25" i="10"/>
  <c r="G28" i="10"/>
  <c r="X38" i="10"/>
  <c r="X46" i="10"/>
  <c r="T38" i="10"/>
  <c r="T47" i="10"/>
  <c r="T50" i="10" s="1"/>
  <c r="P41" i="10"/>
  <c r="P46" i="10" s="1"/>
  <c r="P47" i="10" s="1"/>
  <c r="P50" i="10" s="1"/>
  <c r="P52" i="10" s="1"/>
  <c r="E11" i="16" s="1"/>
  <c r="D44" i="10" l="1"/>
  <c r="G24" i="10"/>
  <c r="E12" i="10"/>
  <c r="F12" i="10" s="1"/>
  <c r="F17" i="10"/>
  <c r="E37" i="10"/>
  <c r="C44" i="10"/>
  <c r="J17" i="10"/>
  <c r="K15" i="10"/>
  <c r="H17" i="10" s="1"/>
  <c r="E17" i="10"/>
  <c r="G23" i="10"/>
  <c r="G27" i="10"/>
  <c r="L26" i="10"/>
  <c r="L30" i="10" s="1"/>
  <c r="L31" i="10"/>
  <c r="L32" i="10" s="1"/>
  <c r="L33" i="10" s="1"/>
  <c r="J12" i="10" l="1"/>
  <c r="I12" i="10"/>
  <c r="K17" i="10"/>
  <c r="J37" i="10"/>
  <c r="H12" i="10"/>
  <c r="H44" i="10" s="1"/>
  <c r="I17" i="10"/>
  <c r="I44" i="10" s="1"/>
  <c r="E44" i="10"/>
  <c r="F37" i="10"/>
  <c r="G26" i="10"/>
  <c r="G30" i="10" s="1"/>
  <c r="G31" i="10"/>
  <c r="G32" i="10" s="1"/>
  <c r="G33" i="10" s="1"/>
  <c r="K12" i="10" l="1"/>
  <c r="F51" i="10"/>
  <c r="F41" i="10"/>
  <c r="F44" i="10"/>
  <c r="F38" i="10"/>
  <c r="J44" i="10"/>
  <c r="K37" i="10"/>
  <c r="K51" i="10" l="1"/>
  <c r="K44" i="10"/>
  <c r="K38" i="10"/>
  <c r="K41" i="10" s="1"/>
  <c r="K46" i="10" s="1"/>
  <c r="K47" i="10" s="1"/>
  <c r="K50" i="10" s="1"/>
  <c r="K52" i="10" s="1"/>
  <c r="D11" i="16" s="1"/>
  <c r="F47" i="10"/>
  <c r="F50" i="10" s="1"/>
  <c r="F52" i="10" s="1"/>
  <c r="C11" i="16" s="1"/>
  <c r="F46"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<sst xmlns="http://schemas.openxmlformats.org/spreadsheetml/2006/main" count="567" uniqueCount="505">
  <si>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</si>
  <si>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</si>
  <si>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</si>
  <si>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</si>
  <si>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</si>
  <si>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</si>
  <si>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</si>
  <si>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</si>
  <si>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</si>
  <si>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</si>
  <si>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</si>
  <si>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</si>
  <si>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</si>
  <si>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</si>
  <si>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</si>
  <si>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</si>
  <si>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</si>
  <si>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</si>
  <si>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</si>
  <si>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</si>
  <si>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</si>
  <si>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</si>
  <si>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</si>
  <si>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</si>
  <si>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</si>
  <si>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</si>
  <si>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</si>
  <si>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</si>
  <si>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</si>
  <si>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</si>
  <si>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</si>
  <si>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</si>
  <si>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</si>
  <si>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</si>
  <si>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</si>
  <si>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</si>
  <si>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</si>
  <si>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</si>
  <si>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</si>
  <si>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</si>
  <si>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</si>
  <si>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</si>
  <si>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</si>
  <si>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</si>
  <si>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</si>
  <si>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</si>
  <si>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</si>
  <si>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</si>
  <si>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</si>
  <si>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</si>
  <si>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</si>
  <si>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</si>
  <si>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</si>
  <si>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</si>
  <si>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</si>
  <si>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</si>
  <si>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</si>
  <si>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</si>
  <si>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</si>
  <si>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</si>
  <si>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</si>
  <si>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</si>
  <si>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</si>
  <si>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</si>
  <si>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</si>
  <si>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</si>
  <si>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</si>
  <si>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</si>
  <si>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</si>
  <si>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</si>
  <si>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</si>
  <si>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</si>
  <si>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</si>
  <si>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</si>
  <si>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</si>
  <si>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</si>
  <si>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</si>
  <si>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</si>
  <si>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</si>
  <si>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</si>
  <si>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</si>
  <si>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</si>
  <si>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</si>
  <si>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</si>
  <si>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</si>
  <si>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</si>
  <si>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</si>
  <si>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</si>
  <si>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</si>
  <si>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</si>
  <si>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</si>
  <si>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</si>
  <si>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</si>
  <si>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</si>
  <si>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</si>
  <si>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</si>
  <si>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</si>
  <si>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</si>
  <si>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</si>
  <si>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</si>
  <si>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</si>
  <si>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</si>
  <si>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</si>
  <si>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</si>
  <si>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</si>
  <si>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</si>
  <si>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</si>
  <si>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</si>
  <si>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</si>
  <si>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</si>
  <si>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</si>
  <si>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</si>
  <si>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</si>
  <si>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</si>
  <si>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</si>
  <si>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</si>
  <si>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</si>
  <si>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</si>
  <si>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</si>
  <si>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</si>
  <si>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</si>
  <si>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</si>
  <si>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</si>
  <si>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</si>
  <si>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</si>
  <si>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</si>
  <si>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</si>
  <si>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</si>
  <si>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</si>
  <si>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</si>
  <si>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</si>
  <si>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</si>
  <si>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</si>
  <si>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</si>
  <si>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</si>
  <si>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</si>
  <si>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</si>
  <si>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</si>
  <si>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</si>
  <si>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</si>
  <si>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</si>
  <si>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</si>
  <si>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</si>
  <si>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</si>
  <si>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</si>
  <si>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</si>
  <si>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</si>
  <si>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</si>
  <si>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</si>
  <si>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</si>
  <si>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</si>
  <si>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</si>
  <si>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</si>
  <si>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</si>
  <si>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</si>
  <si>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</si>
  <si>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</si>
  <si>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</si>
  <si>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</si>
  <si>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</si>
  <si>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</si>
  <si>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</si>
  <si>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</si>
  <si>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</si>
  <si>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</si>
  <si>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</si>
  <si>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</si>
  <si>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</si>
  <si>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</si>
  <si>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</si>
  <si>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</si>
  <si>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</si>
  <si>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</si>
  <si>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</si>
  <si>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</si>
  <si>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</si>
  <si>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</si>
  <si>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</si>
  <si>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</si>
  <si>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</si>
  <si>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</si>
  <si>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</si>
  <si>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</si>
  <si>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</si>
  <si>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</si>
  <si>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</si>
  <si>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</si>
  <si>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</si>
  <si>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</si>
  <si>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</si>
  <si>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</si>
  <si>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</si>
  <si>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</si>
  <si>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</si>
  <si>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</si>
  <si>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</si>
  <si>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</si>
  <si>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</si>
  <si>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</si>
  <si>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</si>
  <si>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</si>
  <si>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</si>
  <si>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</si>
  <si>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</si>
  <si>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</si>
  <si>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</si>
  <si>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</si>
  <si>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</si>
  <si>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</si>
  <si>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</si>
  <si>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</si>
  <si>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</si>
  <si>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</si>
  <si>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</si>
  <si>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</si>
  <si>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</si>
  <si>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</si>
  <si>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</si>
  <si>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</si>
  <si>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</si>
  <si>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</si>
  <si>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</si>
  <si>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</si>
  <si>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</si>
  <si>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</si>
  <si>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</si>
  <si>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</si>
  <si>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</si>
  <si>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</si>
  <si>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</si>
  <si>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</si>
  <si>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</si>
  <si>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</si>
  <si>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</si>
  <si>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</si>
  <si>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</si>
  <si>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</si>
  <si>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</si>
  <si>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</si>
  <si>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</si>
  <si>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</si>
  <si>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</si>
  <si>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</si>
  <si>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</si>
  <si>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</si>
  <si>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</si>
  <si>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</si>
  <si>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</si>
  <si>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</si>
  <si>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</si>
  <si>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</si>
  <si>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</si>
  <si>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</si>
  <si>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</si>
  <si>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</si>
  <si>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</si>
  <si>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</si>
  <si>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</si>
  <si>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</si>
  <si>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</si>
  <si>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</si>
  <si>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</si>
  <si>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</si>
  <si>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</si>
  <si>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</si>
  <si>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</si>
  <si>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</si>
  <si>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</si>
  <si>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</si>
  <si>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</si>
  <si>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</si>
  <si>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</si>
  <si>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</si>
  <si>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</si>
  <si>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</si>
  <si>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</si>
  <si>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</si>
  <si>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</si>
  <si>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</si>
  <si>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</si>
  <si>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</si>
  <si>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</si>
  <si>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</si>
  <si>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</si>
  <si>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</si>
  <si>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</si>
  <si>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</si>
  <si>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</si>
  <si>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</si>
  <si>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</si>
  <si>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</si>
  <si>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</si>
  <si>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</si>
  <si>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</si>
  <si>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</si>
  <si>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</si>
  <si>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</si>
  <si>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</si>
  <si>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</si>
  <si>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</si>
  <si>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</si>
  <si>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</si>
  <si>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</si>
  <si>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</si>
  <si>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</si>
  <si>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</si>
  <si>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</si>
  <si>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</si>
  <si>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</si>
  <si>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</si>
  <si>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</si>
  <si>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</si>
  <si>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</si>
  <si>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</si>
  <si>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</si>
  <si>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</si>
  <si>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</si>
  <si>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</si>
  <si>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</si>
  <si>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</si>
  <si>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</si>
  <si>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</si>
  <si>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</si>
  <si>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</si>
  <si>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</si>
  <si>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</si>
  <si>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</si>
  <si>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</si>
  <si>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</si>
  <si>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</si>
  <si>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</si>
  <si>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</si>
  <si>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</si>
  <si>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</si>
  <si>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</si>
  <si>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</si>
  <si>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</si>
  <si>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</si>
  <si>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</si>
  <si>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</si>
  <si>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</si>
  <si>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</si>
  <si>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</si>
  <si>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</si>
  <si>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</si>
  <si>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</si>
  <si>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</si>
  <si>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</si>
  <si>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</si>
  <si>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</si>
  <si>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</si>
  <si>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</si>
  <si>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</si>
  <si>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</si>
  <si>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</si>
  <si>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</si>
  <si>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</si>
  <si>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</si>
  <si>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</si>
  <si>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</si>
  <si>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</si>
  <si>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</si>
  <si>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</si>
  <si>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</si>
  <si>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</si>
  <si>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</si>
  <si>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</si>
  <si>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</si>
  <si>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</si>
  <si>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</si>
  <si>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</si>
  <si>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</si>
  <si>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</si>
  <si>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</si>
  <si>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</si>
  <si>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</si>
  <si>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</si>
  <si>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</si>
  <si>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</si>
  <si>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</si>
  <si>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</si>
  <si>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</si>
  <si>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</si>
  <si>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</si>
  <si>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</si>
  <si>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</si>
  <si>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</si>
  <si>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</si>
  <si>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</si>
  <si>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</si>
  <si>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</si>
  <si>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</si>
  <si>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</si>
  <si>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</si>
  <si>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</si>
  <si>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</si>
  <si>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</si>
  <si>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</si>
  <si>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</si>
  <si>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</si>
  <si>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</si>
  <si>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</si>
  <si>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</si>
  <si>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</si>
  <si>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</si>
  <si>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</si>
  <si>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</si>
  <si>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</si>
  <si>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</si>
  <si>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</si>
  <si>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</si>
  <si>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</si>
  <si>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</si>
  <si>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</si>
  <si>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</si>
  <si>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</si>
  <si>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</si>
  <si>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</si>
  <si>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</si>
  <si>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</si>
  <si>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</si>
  <si>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</si>
  <si>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</si>
  <si>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</si>
  <si>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</si>
  <si>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</si>
  <si>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</si>
  <si>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</si>
  <si>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</si>
  <si>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</si>
  <si>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</si>
  <si>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</si>
  <si>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</si>
  <si>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</si>
  <si>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</si>
  <si>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</si>
  <si>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</si>
  <si>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</si>
  <si>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</si>
  <si>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</si>
  <si>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</si>
  <si>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</si>
  <si>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</si>
  <si>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</si>
  <si>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</si>
  <si>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</si>
  <si>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</si>
  <si>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</si>
  <si>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</si>
  <si>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</si>
  <si>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</si>
  <si>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</si>
  <si>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</si>
  <si>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</si>
  <si>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</si>
  <si>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</si>
  <si>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</si>
  <si>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</si>
  <si>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</si>
  <si>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</si>
  <si>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</si>
  <si>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</si>
  <si>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</si>
  <si>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</si>
  <si>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</si>
  <si>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</si>
  <si>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</si>
  <si>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</si>
  <si>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</si>
  <si>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</si>
  <si>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</si>
  <si>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</si>
  <si>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</si>
  <si>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</si>
  <si>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</si>
  <si>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</si>
  <si>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</si>
  <si>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</si>
  <si>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</si>
  <si>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</si>
  <si>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</si>
  <si>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</si>
  <si>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</si>
  <si>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</si>
  <si>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</si>
  <si>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</si>
  <si>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</si>
  <si>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</si>
  <si>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</si>
  <si>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</si>
  <si>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</si>
  <si>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</si>
  <si>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</si>
  <si>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</si>
  <si>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</si>
  <si>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</si>
  <si>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</si>
  <si>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</si>
  <si>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</si>
  <si>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</si>
  <si>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</si>
  <si>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</si>
  <si>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</si>
  <si>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46958</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</si>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</sst>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187</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47142268</v>
      </c>
      <c r="E5" s="106">
        <f>SUM('Pt 2 Premium and Claims'!E$5,'Pt 2 Premium and Claims'!E$6,-'Pt 2 Premium and Claims'!E$7,-'Pt 2 Premium and Claims'!E$13,'Pt 2 Premium and Claims'!E$14:'Pt 2 Premium and Claims'!E$17)</f>
        <v>52117891.199999996</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24102249</v>
      </c>
      <c r="K5" s="106">
        <f>SUM('Pt 2 Premium and Claims'!K$5,'Pt 2 Premium and Claims'!K$6,-'Pt 2 Premium and Claims'!K$7,-'Pt 2 Premium and Claims'!K$13,'Pt 2 Premium and Claims'!K$14,'Pt 2 Premium and Claims'!K$16:'Pt 2 Premium and Claims'!K$17)</f>
        <v>21168643.947486997</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5867542</v>
      </c>
      <c r="Q5" s="106">
        <f>SUM('Pt 2 Premium and Claims'!Q$5,'Pt 2 Premium and Claims'!Q$6,-'Pt 2 Premium and Claims'!Q$7,-'Pt 2 Premium and Claims'!Q$13,'Pt 2 Premium and Claims'!Q$14)</f>
        <v>7987210.1875768006</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46850534</v>
      </c>
      <c r="AT5" s="107">
        <f>SUM('Pt 2 Premium and Claims'!AT$5,'Pt 2 Premium and Claims'!AT$6,-'Pt 2 Premium and Claims'!AT$7,-'Pt 2 Premium and Claims'!AT$13,'Pt 2 Premium and Claims'!AT$14)</f>
        <v>3044129</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-83740</v>
      </c>
      <c r="E7" s="110">
        <v>-83740</v>
      </c>
      <c r="F7" s="110"/>
      <c r="G7" s="110"/>
      <c r="H7" s="110"/>
      <c r="I7" s="109"/>
      <c r="J7" s="109">
        <v>-35177</v>
      </c>
      <c r="K7" s="110">
        <v>-35177</v>
      </c>
      <c r="L7" s="110"/>
      <c r="M7" s="110"/>
      <c r="N7" s="110"/>
      <c r="O7" s="109"/>
      <c r="P7" s="109">
        <v>-10197</v>
      </c>
      <c r="Q7" s="110">
        <v>-10197</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-30</v>
      </c>
      <c r="AU7" s="113"/>
      <c r="AV7" s="311"/>
      <c r="AW7" s="318"/>
    </row>
    <row r="8" spans="1:49" ht="25.5" x14ac:dyDescent="0.2">
      <c r="B8" s="155" t="s">
        <v>225</v>
      </c>
      <c r="C8" s="62" t="s">
        <v>59</v>
      </c>
      <c r="D8" s="109">
        <v>-362221</v>
      </c>
      <c r="E8" s="289"/>
      <c r="F8" s="290"/>
      <c r="G8" s="290"/>
      <c r="H8" s="290"/>
      <c r="I8" s="293"/>
      <c r="J8" s="109">
        <v>-65248.000000000007</v>
      </c>
      <c r="K8" s="289"/>
      <c r="L8" s="290"/>
      <c r="M8" s="290"/>
      <c r="N8" s="290"/>
      <c r="O8" s="293"/>
      <c r="P8" s="109">
        <v>-8590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239710</v>
      </c>
      <c r="AT8" s="113">
        <v>371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46036401</v>
      </c>
      <c r="E12" s="106">
        <f>'Pt 2 Premium and Claims'!E$54</f>
        <v>46358514.909900002</v>
      </c>
      <c r="F12" s="106">
        <f>'Pt 2 Premium and Claims'!F$54</f>
        <v>0</v>
      </c>
      <c r="G12" s="106">
        <f>'Pt 2 Premium and Claims'!G$54</f>
        <v>0</v>
      </c>
      <c r="H12" s="106">
        <f>'Pt 2 Premium and Claims'!H$54</f>
        <v>0</v>
      </c>
      <c r="I12" s="105">
        <f>'Pt 2 Premium and Claims'!I$54</f>
        <v>0</v>
      </c>
      <c r="J12" s="105">
        <f>'Pt 2 Premium and Claims'!J$54</f>
        <v>17024365</v>
      </c>
      <c r="K12" s="106">
        <f>'Pt 2 Premium and Claims'!K$54</f>
        <v>16626065.499946967</v>
      </c>
      <c r="L12" s="106">
        <f>'Pt 2 Premium and Claims'!L$54</f>
        <v>0</v>
      </c>
      <c r="M12" s="106">
        <f>'Pt 2 Premium and Claims'!M$54</f>
        <v>0</v>
      </c>
      <c r="N12" s="106">
        <f>'Pt 2 Premium and Claims'!N$54</f>
        <v>0</v>
      </c>
      <c r="O12" s="105">
        <f>'Pt 2 Premium and Claims'!O$54</f>
        <v>0</v>
      </c>
      <c r="P12" s="105">
        <f>'Pt 2 Premium and Claims'!P$54</f>
        <v>5703135</v>
      </c>
      <c r="Q12" s="106">
        <f>'Pt 2 Premium and Claims'!Q$54</f>
        <v>6689532.7532511577</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39507523</v>
      </c>
      <c r="AT12" s="107">
        <f>'Pt 2 Premium and Claims'!AT$54</f>
        <v>1750078</v>
      </c>
      <c r="AU12" s="107">
        <f>'Pt 2 Premium and Claims'!AU$54</f>
        <v>0</v>
      </c>
      <c r="AV12" s="312"/>
      <c r="AW12" s="317"/>
    </row>
    <row r="13" spans="1:49" ht="25.5" x14ac:dyDescent="0.2">
      <c r="B13" s="155" t="s">
        <v>230</v>
      </c>
      <c r="C13" s="62" t="s">
        <v>37</v>
      </c>
      <c r="D13" s="109">
        <v>4035513</v>
      </c>
      <c r="E13" s="110">
        <v>4037527.03</v>
      </c>
      <c r="F13" s="110"/>
      <c r="G13" s="289"/>
      <c r="H13" s="290"/>
      <c r="I13" s="109"/>
      <c r="J13" s="109">
        <v>2617684</v>
      </c>
      <c r="K13" s="110">
        <v>2382246.8179379189</v>
      </c>
      <c r="L13" s="110"/>
      <c r="M13" s="289"/>
      <c r="N13" s="290"/>
      <c r="O13" s="109"/>
      <c r="P13" s="109">
        <v>707663</v>
      </c>
      <c r="Q13" s="110">
        <v>951039.22206208366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23434449</v>
      </c>
      <c r="AT13" s="113">
        <v>4391</v>
      </c>
      <c r="AU13" s="113"/>
      <c r="AV13" s="311"/>
      <c r="AW13" s="318"/>
    </row>
    <row r="14" spans="1:49" ht="25.5" x14ac:dyDescent="0.2">
      <c r="B14" s="155" t="s">
        <v>231</v>
      </c>
      <c r="C14" s="62" t="s">
        <v>6</v>
      </c>
      <c r="D14" s="109">
        <v>463691</v>
      </c>
      <c r="E14" s="110">
        <v>442359.05000000005</v>
      </c>
      <c r="F14" s="110"/>
      <c r="G14" s="288"/>
      <c r="H14" s="291"/>
      <c r="I14" s="109"/>
      <c r="J14" s="109">
        <v>276001</v>
      </c>
      <c r="K14" s="110">
        <v>255673.85442908571</v>
      </c>
      <c r="L14" s="110"/>
      <c r="M14" s="288"/>
      <c r="N14" s="291"/>
      <c r="O14" s="109"/>
      <c r="P14" s="109">
        <v>63891</v>
      </c>
      <c r="Q14" s="110">
        <v>83960.7555709148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6258565</v>
      </c>
      <c r="AT14" s="113">
        <v>228</v>
      </c>
      <c r="AU14" s="113"/>
      <c r="AV14" s="311"/>
      <c r="AW14" s="318"/>
    </row>
    <row r="15" spans="1:49" ht="38.25" x14ac:dyDescent="0.2">
      <c r="B15" s="155" t="s">
        <v>232</v>
      </c>
      <c r="C15" s="62" t="s">
        <v>7</v>
      </c>
      <c r="D15" s="109">
        <v>1485</v>
      </c>
      <c r="E15" s="110">
        <v>1485</v>
      </c>
      <c r="F15" s="110"/>
      <c r="G15" s="288"/>
      <c r="H15" s="294"/>
      <c r="I15" s="109"/>
      <c r="J15" s="109">
        <v>736</v>
      </c>
      <c r="K15" s="110">
        <v>736</v>
      </c>
      <c r="L15" s="110"/>
      <c r="M15" s="288"/>
      <c r="N15" s="294"/>
      <c r="O15" s="109"/>
      <c r="P15" s="109">
        <v>143</v>
      </c>
      <c r="Q15" s="110">
        <v>143</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1484</v>
      </c>
      <c r="AT15" s="113">
        <v>81</v>
      </c>
      <c r="AU15" s="113"/>
      <c r="AV15" s="311"/>
      <c r="AW15" s="318"/>
    </row>
    <row r="16" spans="1:49" ht="25.5" x14ac:dyDescent="0.2">
      <c r="B16" s="155" t="s">
        <v>233</v>
      </c>
      <c r="C16" s="62" t="s">
        <v>61</v>
      </c>
      <c r="D16" s="109">
        <v>-4285238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23360</v>
      </c>
      <c r="AT16" s="113">
        <v>-4236</v>
      </c>
      <c r="AU16" s="113"/>
      <c r="AV16" s="311"/>
      <c r="AW16" s="318"/>
    </row>
    <row r="17" spans="1:49" x14ac:dyDescent="0.2">
      <c r="B17" s="155" t="s">
        <v>234</v>
      </c>
      <c r="C17" s="62" t="s">
        <v>62</v>
      </c>
      <c r="D17" s="109">
        <v>28</v>
      </c>
      <c r="E17" s="288"/>
      <c r="F17" s="291"/>
      <c r="G17" s="291"/>
      <c r="H17" s="291"/>
      <c r="I17" s="292"/>
      <c r="J17" s="109"/>
      <c r="K17" s="288"/>
      <c r="L17" s="291"/>
      <c r="M17" s="291"/>
      <c r="N17" s="291"/>
      <c r="O17" s="292"/>
      <c r="P17" s="109">
        <v>25588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-56387</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19</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-9</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57165</v>
      </c>
      <c r="E22" s="115">
        <f>'Pt 2 Premium and Claims'!E$55</f>
        <v>57165</v>
      </c>
      <c r="F22" s="115">
        <f>'Pt 2 Premium and Claims'!F$55</f>
        <v>0</v>
      </c>
      <c r="G22" s="115">
        <f>'Pt 2 Premium and Claims'!G$55</f>
        <v>0</v>
      </c>
      <c r="H22" s="115">
        <f>'Pt 2 Premium and Claims'!H$55</f>
        <v>0</v>
      </c>
      <c r="I22" s="114">
        <f>'Pt 2 Premium and Claims'!I$55</f>
        <v>0</v>
      </c>
      <c r="J22" s="114">
        <f>'Pt 2 Premium and Claims'!J$55</f>
        <v>37811</v>
      </c>
      <c r="K22" s="115">
        <f>'Pt 2 Premium and Claims'!K$55</f>
        <v>37811</v>
      </c>
      <c r="L22" s="115">
        <f>'Pt 2 Premium and Claims'!L$55</f>
        <v>0</v>
      </c>
      <c r="M22" s="115">
        <f>'Pt 2 Premium and Claims'!M$55</f>
        <v>0</v>
      </c>
      <c r="N22" s="115">
        <f>'Pt 2 Premium and Claims'!N$55</f>
        <v>0</v>
      </c>
      <c r="O22" s="114">
        <f>'Pt 2 Premium and Claims'!O$55</f>
        <v>0</v>
      </c>
      <c r="P22" s="114">
        <f>'Pt 2 Premium and Claims'!P$55</f>
        <v>2334</v>
      </c>
      <c r="Q22" s="115">
        <f>'Pt 2 Premium and Claims'!Q$55</f>
        <v>2334</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-5280877.8530000001</v>
      </c>
      <c r="E25" s="110">
        <v>-5280877.8530000001</v>
      </c>
      <c r="F25" s="110"/>
      <c r="G25" s="110"/>
      <c r="H25" s="110"/>
      <c r="I25" s="109"/>
      <c r="J25" s="109">
        <v>210404.8302</v>
      </c>
      <c r="K25" s="110">
        <v>210404.8302</v>
      </c>
      <c r="L25" s="110"/>
      <c r="M25" s="110"/>
      <c r="N25" s="110"/>
      <c r="O25" s="109"/>
      <c r="P25" s="109">
        <v>-426906.28989999997</v>
      </c>
      <c r="Q25" s="110">
        <v>-426906.28989999997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-433475.82980000001</v>
      </c>
      <c r="AT25" s="113">
        <v>192877.2844</v>
      </c>
      <c r="AU25" s="113"/>
      <c r="AV25" s="113"/>
      <c r="AW25" s="318"/>
    </row>
    <row r="26" spans="1:49" s="5" customFormat="1" x14ac:dyDescent="0.2">
      <c r="A26" s="35"/>
      <c r="B26" s="158" t="s">
        <v>243</v>
      </c>
      <c r="C26" s="62"/>
      <c r="D26" s="109"/>
      <c r="E26" s="110">
        <v>73753.38</v>
      </c>
      <c r="F26" s="110"/>
      <c r="G26" s="110"/>
      <c r="H26" s="110"/>
      <c r="I26" s="109"/>
      <c r="J26" s="109"/>
      <c r="K26" s="110">
        <v>17124.809999999998</v>
      </c>
      <c r="L26" s="110"/>
      <c r="M26" s="110"/>
      <c r="N26" s="110"/>
      <c r="O26" s="109"/>
      <c r="P26" s="109"/>
      <c r="Q26" s="110">
        <v>4135.97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591902.91000000015</v>
      </c>
      <c r="E27" s="110">
        <v>591902.91000000015</v>
      </c>
      <c r="F27" s="110"/>
      <c r="G27" s="110"/>
      <c r="H27" s="110"/>
      <c r="I27" s="109"/>
      <c r="J27" s="109">
        <v>305626.82999999996</v>
      </c>
      <c r="K27" s="110">
        <v>305626.82999999996</v>
      </c>
      <c r="L27" s="110"/>
      <c r="M27" s="110"/>
      <c r="N27" s="110"/>
      <c r="O27" s="109"/>
      <c r="P27" s="109">
        <v>64277.08</v>
      </c>
      <c r="Q27" s="110">
        <v>64277.08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585706.66</v>
      </c>
      <c r="AT27" s="113">
        <v>7807.2800000000007</v>
      </c>
      <c r="AU27" s="113"/>
      <c r="AV27" s="314"/>
      <c r="AW27" s="318"/>
    </row>
    <row r="28" spans="1:49" s="5" customFormat="1" x14ac:dyDescent="0.2">
      <c r="A28" s="35"/>
      <c r="B28" s="158" t="s">
        <v>245</v>
      </c>
      <c r="C28" s="62"/>
      <c r="D28" s="109">
        <v>2242231.61</v>
      </c>
      <c r="E28" s="110">
        <v>360312.22000000003</v>
      </c>
      <c r="F28" s="110"/>
      <c r="G28" s="110"/>
      <c r="H28" s="110"/>
      <c r="I28" s="109"/>
      <c r="J28" s="109">
        <v>556275.40000000014</v>
      </c>
      <c r="K28" s="110">
        <v>81843.840000000026</v>
      </c>
      <c r="L28" s="110"/>
      <c r="M28" s="110"/>
      <c r="N28" s="110"/>
      <c r="O28" s="109"/>
      <c r="P28" s="109">
        <v>142575.41</v>
      </c>
      <c r="Q28" s="110">
        <v>20181.77</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4653.6099999999997</v>
      </c>
      <c r="AT28" s="113">
        <v>7620.83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-335881.42530000012</v>
      </c>
      <c r="E30" s="110">
        <v>-299019.99530000013</v>
      </c>
      <c r="F30" s="110"/>
      <c r="G30" s="110"/>
      <c r="H30" s="110"/>
      <c r="I30" s="109"/>
      <c r="J30" s="109">
        <v>22267.773580000015</v>
      </c>
      <c r="K30" s="110">
        <v>30667.693580000014</v>
      </c>
      <c r="L30" s="110"/>
      <c r="M30" s="110"/>
      <c r="N30" s="110"/>
      <c r="O30" s="109"/>
      <c r="P30" s="109">
        <v>-27449.783670000004</v>
      </c>
      <c r="Q30" s="110">
        <v>-25378.503670000002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-17642.532809999993</v>
      </c>
      <c r="AT30" s="113">
        <v>14069.068100000002</v>
      </c>
      <c r="AU30" s="113"/>
      <c r="AV30" s="113"/>
      <c r="AW30" s="318"/>
    </row>
    <row r="31" spans="1:49" x14ac:dyDescent="0.2">
      <c r="B31" s="158" t="s">
        <v>248</v>
      </c>
      <c r="C31" s="62"/>
      <c r="D31" s="109">
        <v>26351.469999999998</v>
      </c>
      <c r="E31" s="110">
        <v>4700.46</v>
      </c>
      <c r="F31" s="110"/>
      <c r="G31" s="110"/>
      <c r="H31" s="110"/>
      <c r="I31" s="109"/>
      <c r="J31" s="109">
        <v>2504.3000000000002</v>
      </c>
      <c r="K31" s="110">
        <v>2504.3000000000002</v>
      </c>
      <c r="L31" s="110"/>
      <c r="M31" s="110"/>
      <c r="N31" s="110"/>
      <c r="O31" s="109"/>
      <c r="P31" s="109">
        <v>610.08999999999992</v>
      </c>
      <c r="Q31" s="110">
        <v>610.08999999999992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245.15000000000003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2285083.71</v>
      </c>
      <c r="F34" s="110"/>
      <c r="G34" s="110"/>
      <c r="H34" s="110"/>
      <c r="I34" s="109"/>
      <c r="J34" s="109"/>
      <c r="K34" s="110">
        <v>535315.55000000005</v>
      </c>
      <c r="L34" s="110"/>
      <c r="M34" s="110"/>
      <c r="N34" s="110"/>
      <c r="O34" s="109"/>
      <c r="P34" s="109"/>
      <c r="Q34" s="110">
        <v>137828.13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98048.540000000023</v>
      </c>
      <c r="E35" s="110">
        <v>100551.70000000003</v>
      </c>
      <c r="F35" s="110"/>
      <c r="G35" s="110"/>
      <c r="H35" s="110"/>
      <c r="I35" s="109"/>
      <c r="J35" s="109">
        <v>22596.57</v>
      </c>
      <c r="K35" s="110">
        <v>23952.77</v>
      </c>
      <c r="L35" s="110"/>
      <c r="M35" s="110"/>
      <c r="N35" s="110"/>
      <c r="O35" s="109"/>
      <c r="P35" s="109">
        <v>5533.8099999999995</v>
      </c>
      <c r="Q35" s="110">
        <v>5533.8099999999995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42573.25</v>
      </c>
      <c r="AT35" s="113">
        <v>2720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321254</v>
      </c>
      <c r="E37" s="118">
        <v>321253.22000000003</v>
      </c>
      <c r="F37" s="118"/>
      <c r="G37" s="118"/>
      <c r="H37" s="118"/>
      <c r="I37" s="117"/>
      <c r="J37" s="117">
        <v>130157.99999999999</v>
      </c>
      <c r="K37" s="118">
        <v>130157.21000000002</v>
      </c>
      <c r="L37" s="118"/>
      <c r="M37" s="118"/>
      <c r="N37" s="118"/>
      <c r="O37" s="117"/>
      <c r="P37" s="117">
        <v>31466</v>
      </c>
      <c r="Q37" s="118">
        <v>31465.49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395170</v>
      </c>
      <c r="AT37" s="119">
        <v>21215</v>
      </c>
      <c r="AU37" s="119"/>
      <c r="AV37" s="119"/>
      <c r="AW37" s="317"/>
    </row>
    <row r="38" spans="1:49" x14ac:dyDescent="0.2">
      <c r="B38" s="155" t="s">
        <v>255</v>
      </c>
      <c r="C38" s="62" t="s">
        <v>16</v>
      </c>
      <c r="D38" s="109">
        <v>70127</v>
      </c>
      <c r="E38" s="110">
        <v>70126.94</v>
      </c>
      <c r="F38" s="110"/>
      <c r="G38" s="110"/>
      <c r="H38" s="110"/>
      <c r="I38" s="109"/>
      <c r="J38" s="109">
        <v>53384</v>
      </c>
      <c r="K38" s="110">
        <v>53383.499999999993</v>
      </c>
      <c r="L38" s="110"/>
      <c r="M38" s="110"/>
      <c r="N38" s="110"/>
      <c r="O38" s="109"/>
      <c r="P38" s="109">
        <v>12790</v>
      </c>
      <c r="Q38" s="110">
        <v>12790.25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158976</v>
      </c>
      <c r="AT38" s="113">
        <v>9</v>
      </c>
      <c r="AU38" s="113"/>
      <c r="AV38" s="113"/>
      <c r="AW38" s="318"/>
    </row>
    <row r="39" spans="1:49" x14ac:dyDescent="0.2">
      <c r="B39" s="158" t="s">
        <v>256</v>
      </c>
      <c r="C39" s="62" t="s">
        <v>17</v>
      </c>
      <c r="D39" s="109">
        <v>101486</v>
      </c>
      <c r="E39" s="110">
        <v>101485.89</v>
      </c>
      <c r="F39" s="110"/>
      <c r="G39" s="110"/>
      <c r="H39" s="110"/>
      <c r="I39" s="109"/>
      <c r="J39" s="109">
        <v>48612</v>
      </c>
      <c r="K39" s="110">
        <v>48612.100000000006</v>
      </c>
      <c r="L39" s="110"/>
      <c r="M39" s="110"/>
      <c r="N39" s="110"/>
      <c r="O39" s="109"/>
      <c r="P39" s="109">
        <v>12304</v>
      </c>
      <c r="Q39" s="110">
        <v>12303.84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136412</v>
      </c>
      <c r="AT39" s="113">
        <v>1085</v>
      </c>
      <c r="AU39" s="113"/>
      <c r="AV39" s="113"/>
      <c r="AW39" s="318"/>
    </row>
    <row r="40" spans="1:49" x14ac:dyDescent="0.2">
      <c r="B40" s="158" t="s">
        <v>257</v>
      </c>
      <c r="C40" s="62" t="s">
        <v>38</v>
      </c>
      <c r="D40" s="109">
        <v>74934</v>
      </c>
      <c r="E40" s="110">
        <v>74934.100000000006</v>
      </c>
      <c r="F40" s="110"/>
      <c r="G40" s="110"/>
      <c r="H40" s="110"/>
      <c r="I40" s="109"/>
      <c r="J40" s="109">
        <v>359986</v>
      </c>
      <c r="K40" s="110">
        <v>359986.00000000006</v>
      </c>
      <c r="L40" s="110"/>
      <c r="M40" s="110"/>
      <c r="N40" s="110"/>
      <c r="O40" s="109"/>
      <c r="P40" s="109">
        <v>88562</v>
      </c>
      <c r="Q40" s="110">
        <v>88562.14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213500</v>
      </c>
      <c r="AT40" s="113">
        <v>10711</v>
      </c>
      <c r="AU40" s="113"/>
      <c r="AV40" s="113"/>
      <c r="AW40" s="318"/>
    </row>
    <row r="41" spans="1:49" s="5" customFormat="1" ht="25.5" x14ac:dyDescent="0.2">
      <c r="A41" s="35"/>
      <c r="B41" s="158" t="s">
        <v>258</v>
      </c>
      <c r="C41" s="62" t="s">
        <v>129</v>
      </c>
      <c r="D41" s="109">
        <v>181466</v>
      </c>
      <c r="E41" s="110">
        <v>181464.43</v>
      </c>
      <c r="F41" s="110"/>
      <c r="G41" s="110"/>
      <c r="H41" s="110"/>
      <c r="I41" s="109"/>
      <c r="J41" s="109">
        <v>35184</v>
      </c>
      <c r="K41" s="110">
        <v>35184.129999999997</v>
      </c>
      <c r="L41" s="110"/>
      <c r="M41" s="110"/>
      <c r="N41" s="110"/>
      <c r="O41" s="109"/>
      <c r="P41" s="109">
        <v>8702</v>
      </c>
      <c r="Q41" s="110">
        <v>8702.07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246213</v>
      </c>
      <c r="AT41" s="113">
        <v>4777</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976757</v>
      </c>
      <c r="E44" s="118">
        <v>976757</v>
      </c>
      <c r="F44" s="118"/>
      <c r="G44" s="118"/>
      <c r="H44" s="118"/>
      <c r="I44" s="117"/>
      <c r="J44" s="117">
        <v>470277</v>
      </c>
      <c r="K44" s="118">
        <v>470277</v>
      </c>
      <c r="L44" s="118"/>
      <c r="M44" s="118"/>
      <c r="N44" s="118"/>
      <c r="O44" s="117"/>
      <c r="P44" s="117">
        <v>128869</v>
      </c>
      <c r="Q44" s="118">
        <v>128869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864447</v>
      </c>
      <c r="AT44" s="119">
        <v>9102</v>
      </c>
      <c r="AU44" s="119"/>
      <c r="AV44" s="119"/>
      <c r="AW44" s="317"/>
    </row>
    <row r="45" spans="1:49" x14ac:dyDescent="0.2">
      <c r="B45" s="161" t="s">
        <v>262</v>
      </c>
      <c r="C45" s="62" t="s">
        <v>19</v>
      </c>
      <c r="D45" s="109">
        <v>1172705</v>
      </c>
      <c r="E45" s="110">
        <v>1172705</v>
      </c>
      <c r="F45" s="110"/>
      <c r="G45" s="110"/>
      <c r="H45" s="110"/>
      <c r="I45" s="109"/>
      <c r="J45" s="109">
        <v>252302</v>
      </c>
      <c r="K45" s="110">
        <v>252302</v>
      </c>
      <c r="L45" s="110"/>
      <c r="M45" s="110"/>
      <c r="N45" s="110"/>
      <c r="O45" s="109"/>
      <c r="P45" s="109">
        <v>65753</v>
      </c>
      <c r="Q45" s="110">
        <v>65753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696484</v>
      </c>
      <c r="AT45" s="113">
        <v>29855</v>
      </c>
      <c r="AU45" s="113"/>
      <c r="AV45" s="113"/>
      <c r="AW45" s="318"/>
    </row>
    <row r="46" spans="1:49" x14ac:dyDescent="0.2">
      <c r="B46" s="161" t="s">
        <v>263</v>
      </c>
      <c r="C46" s="62" t="s">
        <v>20</v>
      </c>
      <c r="D46" s="109">
        <v>1541887</v>
      </c>
      <c r="E46" s="110">
        <v>1541887</v>
      </c>
      <c r="F46" s="110"/>
      <c r="G46" s="110"/>
      <c r="H46" s="110"/>
      <c r="I46" s="109"/>
      <c r="J46" s="109">
        <v>246567</v>
      </c>
      <c r="K46" s="110">
        <v>246567</v>
      </c>
      <c r="L46" s="110"/>
      <c r="M46" s="110"/>
      <c r="N46" s="110"/>
      <c r="O46" s="109"/>
      <c r="P46" s="109">
        <v>63096</v>
      </c>
      <c r="Q46" s="110">
        <v>63096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1107768</v>
      </c>
      <c r="AT46" s="113">
        <v>27844</v>
      </c>
      <c r="AU46" s="113"/>
      <c r="AV46" s="113"/>
      <c r="AW46" s="318"/>
    </row>
    <row r="47" spans="1:49" x14ac:dyDescent="0.2">
      <c r="B47" s="161" t="s">
        <v>264</v>
      </c>
      <c r="C47" s="62" t="s">
        <v>21</v>
      </c>
      <c r="D47" s="109">
        <v>2598516</v>
      </c>
      <c r="E47" s="110">
        <v>2598516</v>
      </c>
      <c r="F47" s="110"/>
      <c r="G47" s="110"/>
      <c r="H47" s="110"/>
      <c r="I47" s="109"/>
      <c r="J47" s="109">
        <v>1467385</v>
      </c>
      <c r="K47" s="110">
        <v>1467385</v>
      </c>
      <c r="L47" s="110"/>
      <c r="M47" s="110"/>
      <c r="N47" s="110"/>
      <c r="O47" s="109"/>
      <c r="P47" s="109">
        <v>348896</v>
      </c>
      <c r="Q47" s="110">
        <v>348896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584317</v>
      </c>
      <c r="AT47" s="113">
        <v>265566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768732.92529999989</v>
      </c>
      <c r="E49" s="110">
        <v>382356.62529999984</v>
      </c>
      <c r="F49" s="110"/>
      <c r="G49" s="110"/>
      <c r="H49" s="110"/>
      <c r="I49" s="109"/>
      <c r="J49" s="109">
        <v>77680.256420000034</v>
      </c>
      <c r="K49" s="110">
        <v>-10084.663579999999</v>
      </c>
      <c r="L49" s="110"/>
      <c r="M49" s="110"/>
      <c r="N49" s="110"/>
      <c r="O49" s="109"/>
      <c r="P49" s="109">
        <v>52122.51367</v>
      </c>
      <c r="Q49" s="110">
        <v>30480.773670000002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127476.27281000002</v>
      </c>
      <c r="AT49" s="113">
        <v>3573.2918999999983</v>
      </c>
      <c r="AU49" s="113"/>
      <c r="AV49" s="113"/>
      <c r="AW49" s="318"/>
    </row>
    <row r="50" spans="2:49" ht="25.5" x14ac:dyDescent="0.2">
      <c r="B50" s="155" t="s">
        <v>266</v>
      </c>
      <c r="C50" s="62"/>
      <c r="D50" s="109">
        <v>5258.87</v>
      </c>
      <c r="E50" s="110">
        <v>5258.87</v>
      </c>
      <c r="F50" s="110"/>
      <c r="G50" s="110"/>
      <c r="H50" s="110"/>
      <c r="I50" s="109"/>
      <c r="J50" s="109">
        <v>1286.53</v>
      </c>
      <c r="K50" s="110">
        <v>1286.53</v>
      </c>
      <c r="L50" s="110"/>
      <c r="M50" s="110"/>
      <c r="N50" s="110"/>
      <c r="O50" s="109"/>
      <c r="P50" s="109">
        <v>322.54000000000002</v>
      </c>
      <c r="Q50" s="110">
        <v>322.54000000000002</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2523.3700000000008</v>
      </c>
      <c r="AT50" s="113">
        <v>134.78</v>
      </c>
      <c r="AU50" s="113"/>
      <c r="AV50" s="113"/>
      <c r="AW50" s="318"/>
    </row>
    <row r="51" spans="2:49" x14ac:dyDescent="0.2">
      <c r="B51" s="155" t="s">
        <v>267</v>
      </c>
      <c r="C51" s="62"/>
      <c r="D51" s="109">
        <v>10106037</v>
      </c>
      <c r="E51" s="110">
        <v>10106037</v>
      </c>
      <c r="F51" s="110"/>
      <c r="G51" s="110"/>
      <c r="H51" s="110"/>
      <c r="I51" s="109"/>
      <c r="J51" s="109">
        <v>2405060</v>
      </c>
      <c r="K51" s="110">
        <v>2405060</v>
      </c>
      <c r="L51" s="110"/>
      <c r="M51" s="110"/>
      <c r="N51" s="110"/>
      <c r="O51" s="109"/>
      <c r="P51" s="109">
        <v>590540</v>
      </c>
      <c r="Q51" s="110">
        <v>590540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4155071</v>
      </c>
      <c r="AT51" s="113">
        <v>291509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10837</v>
      </c>
      <c r="E56" s="122">
        <v>10626</v>
      </c>
      <c r="F56" s="122"/>
      <c r="G56" s="122"/>
      <c r="H56" s="122"/>
      <c r="I56" s="121"/>
      <c r="J56" s="121">
        <v>2954</v>
      </c>
      <c r="K56" s="122">
        <v>2512</v>
      </c>
      <c r="L56" s="122"/>
      <c r="M56" s="122"/>
      <c r="N56" s="122"/>
      <c r="O56" s="121"/>
      <c r="P56" s="121">
        <v>1207</v>
      </c>
      <c r="Q56" s="122">
        <v>1205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27634</v>
      </c>
      <c r="AT56" s="123">
        <v>4657</v>
      </c>
      <c r="AU56" s="123"/>
      <c r="AV56" s="123"/>
      <c r="AW56" s="309"/>
    </row>
    <row r="57" spans="2:49" x14ac:dyDescent="0.2">
      <c r="B57" s="161" t="s">
        <v>273</v>
      </c>
      <c r="C57" s="62" t="s">
        <v>25</v>
      </c>
      <c r="D57" s="124">
        <v>32532</v>
      </c>
      <c r="E57" s="125">
        <v>32318</v>
      </c>
      <c r="F57" s="125"/>
      <c r="G57" s="125"/>
      <c r="H57" s="125"/>
      <c r="I57" s="124"/>
      <c r="J57" s="124">
        <v>6654</v>
      </c>
      <c r="K57" s="125">
        <v>5839</v>
      </c>
      <c r="L57" s="125"/>
      <c r="M57" s="125"/>
      <c r="N57" s="125"/>
      <c r="O57" s="124"/>
      <c r="P57" s="124">
        <v>1889</v>
      </c>
      <c r="Q57" s="125">
        <v>2637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30483</v>
      </c>
      <c r="AT57" s="126">
        <v>10206</v>
      </c>
      <c r="AU57" s="126"/>
      <c r="AV57" s="126"/>
      <c r="AW57" s="310"/>
    </row>
    <row r="58" spans="2:49" x14ac:dyDescent="0.2">
      <c r="B58" s="161" t="s">
        <v>274</v>
      </c>
      <c r="C58" s="62" t="s">
        <v>26</v>
      </c>
      <c r="D58" s="330"/>
      <c r="E58" s="331"/>
      <c r="F58" s="331"/>
      <c r="G58" s="331"/>
      <c r="H58" s="331"/>
      <c r="I58" s="330"/>
      <c r="J58" s="124">
        <v>259</v>
      </c>
      <c r="K58" s="125">
        <v>259</v>
      </c>
      <c r="L58" s="125"/>
      <c r="M58" s="125"/>
      <c r="N58" s="125"/>
      <c r="O58" s="124"/>
      <c r="P58" s="124">
        <v>17</v>
      </c>
      <c r="Q58" s="125">
        <v>17</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v>127</v>
      </c>
      <c r="AU58" s="126"/>
      <c r="AV58" s="126"/>
      <c r="AW58" s="310"/>
    </row>
    <row r="59" spans="2:49" x14ac:dyDescent="0.2">
      <c r="B59" s="161" t="s">
        <v>275</v>
      </c>
      <c r="C59" s="62" t="s">
        <v>27</v>
      </c>
      <c r="D59" s="124">
        <v>419083</v>
      </c>
      <c r="E59" s="125">
        <v>418934</v>
      </c>
      <c r="F59" s="125"/>
      <c r="G59" s="125"/>
      <c r="H59" s="125"/>
      <c r="I59" s="124"/>
      <c r="J59" s="124">
        <v>97726</v>
      </c>
      <c r="K59" s="125">
        <v>89646</v>
      </c>
      <c r="L59" s="125"/>
      <c r="M59" s="125"/>
      <c r="N59" s="125"/>
      <c r="O59" s="124"/>
      <c r="P59" s="124">
        <v>23434</v>
      </c>
      <c r="Q59" s="125">
        <v>31383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352727</v>
      </c>
      <c r="AT59" s="126">
        <v>128839</v>
      </c>
      <c r="AU59" s="126"/>
      <c r="AV59" s="126"/>
      <c r="AW59" s="310"/>
    </row>
    <row r="60" spans="2:49" x14ac:dyDescent="0.2">
      <c r="B60" s="161" t="s">
        <v>276</v>
      </c>
      <c r="C60" s="62"/>
      <c r="D60" s="127">
        <f t="shared" ref="D60:AC60" si="0">D$59/12</f>
        <v>34923.583333333336</v>
      </c>
      <c r="E60" s="128">
        <f t="shared" si="0"/>
        <v>34911.166666666664</v>
      </c>
      <c r="F60" s="128">
        <f t="shared" si="0"/>
        <v>0</v>
      </c>
      <c r="G60" s="128">
        <f t="shared" si="0"/>
        <v>0</v>
      </c>
      <c r="H60" s="128">
        <f t="shared" si="0"/>
        <v>0</v>
      </c>
      <c r="I60" s="127">
        <f t="shared" si="0"/>
        <v>0</v>
      </c>
      <c r="J60" s="127">
        <f t="shared" si="0"/>
        <v>8143.833333333333</v>
      </c>
      <c r="K60" s="128">
        <f t="shared" si="0"/>
        <v>7470.5</v>
      </c>
      <c r="L60" s="128">
        <f t="shared" si="0"/>
        <v>0</v>
      </c>
      <c r="M60" s="128">
        <f t="shared" si="0"/>
        <v>0</v>
      </c>
      <c r="N60" s="128">
        <f t="shared" si="0"/>
        <v>0</v>
      </c>
      <c r="O60" s="127">
        <f t="shared" si="0"/>
        <v>0</v>
      </c>
      <c r="P60" s="127">
        <f t="shared" si="0"/>
        <v>1952.8333333333333</v>
      </c>
      <c r="Q60" s="128">
        <f t="shared" si="0"/>
        <v>2615.25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29393.916666666668</v>
      </c>
      <c r="AT60" s="129">
        <f>AT$59/12</f>
        <v>10736.583333333334</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47119609</v>
      </c>
      <c r="E5" s="118">
        <v>45384523.25</v>
      </c>
      <c r="F5" s="118"/>
      <c r="G5" s="130"/>
      <c r="H5" s="130"/>
      <c r="I5" s="117"/>
      <c r="J5" s="117">
        <v>24102249</v>
      </c>
      <c r="K5" s="118">
        <v>22270139.807486996</v>
      </c>
      <c r="L5" s="118"/>
      <c r="M5" s="118"/>
      <c r="N5" s="118"/>
      <c r="O5" s="117"/>
      <c r="P5" s="117">
        <v>5867542</v>
      </c>
      <c r="Q5" s="118">
        <v>7987210.1875768006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46850534</v>
      </c>
      <c r="AT5" s="119">
        <v>3030435</v>
      </c>
      <c r="AU5" s="119"/>
      <c r="AV5" s="312"/>
      <c r="AW5" s="317"/>
    </row>
    <row r="6" spans="2:49" x14ac:dyDescent="0.2">
      <c r="B6" s="176" t="s">
        <v>279</v>
      </c>
      <c r="C6" s="133" t="s">
        <v>8</v>
      </c>
      <c r="D6" s="109">
        <v>69535</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19398</v>
      </c>
      <c r="AU6" s="113"/>
      <c r="AV6" s="311"/>
      <c r="AW6" s="318"/>
    </row>
    <row r="7" spans="2:49" x14ac:dyDescent="0.2">
      <c r="B7" s="176" t="s">
        <v>280</v>
      </c>
      <c r="C7" s="133" t="s">
        <v>9</v>
      </c>
      <c r="D7" s="109">
        <v>46876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-0.25</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-1387462</v>
      </c>
      <c r="AT11" s="113"/>
      <c r="AU11" s="113"/>
      <c r="AV11" s="311"/>
      <c r="AW11" s="318"/>
    </row>
    <row r="12" spans="2:49" x14ac:dyDescent="0.2">
      <c r="B12" s="176" t="s">
        <v>283</v>
      </c>
      <c r="C12" s="133" t="s">
        <v>44</v>
      </c>
      <c r="D12" s="109">
        <v>4.0000002831220627E-2</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-1030617</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4158821.9399999995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2574546.0099999998</v>
      </c>
      <c r="F16" s="110"/>
      <c r="G16" s="110"/>
      <c r="H16" s="110"/>
      <c r="I16" s="109"/>
      <c r="J16" s="109"/>
      <c r="K16" s="110">
        <f>-1107146.32+5650.46</f>
        <v>-1101495.8600000001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239710</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715</v>
      </c>
      <c r="AU19" s="113"/>
      <c r="AV19" s="311"/>
      <c r="AW19" s="318"/>
    </row>
    <row r="20" spans="2:49" s="5" customFormat="1" ht="25.5" x14ac:dyDescent="0.2">
      <c r="B20" s="178" t="s">
        <v>485</v>
      </c>
      <c r="C20" s="133"/>
      <c r="D20" s="109"/>
      <c r="E20" s="110">
        <v>120.25</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47248500</v>
      </c>
      <c r="E23" s="288"/>
      <c r="F23" s="288"/>
      <c r="G23" s="288"/>
      <c r="H23" s="288"/>
      <c r="I23" s="292"/>
      <c r="J23" s="109">
        <v>18346362</v>
      </c>
      <c r="K23" s="288"/>
      <c r="L23" s="288"/>
      <c r="M23" s="288"/>
      <c r="N23" s="288"/>
      <c r="O23" s="292"/>
      <c r="P23" s="109">
        <v>5546206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42177109</v>
      </c>
      <c r="AT23" s="113">
        <v>1659867</v>
      </c>
      <c r="AU23" s="113"/>
      <c r="AV23" s="311"/>
      <c r="AW23" s="318"/>
    </row>
    <row r="24" spans="2:49" ht="28.5" customHeight="1" x14ac:dyDescent="0.2">
      <c r="B24" s="178" t="s">
        <v>114</v>
      </c>
      <c r="C24" s="133"/>
      <c r="D24" s="293"/>
      <c r="E24" s="110">
        <v>47521729.829999998</v>
      </c>
      <c r="F24" s="110"/>
      <c r="G24" s="110"/>
      <c r="H24" s="110"/>
      <c r="I24" s="109"/>
      <c r="J24" s="293"/>
      <c r="K24" s="110">
        <v>16655531.139999999</v>
      </c>
      <c r="L24" s="110"/>
      <c r="M24" s="110"/>
      <c r="N24" s="110"/>
      <c r="O24" s="109"/>
      <c r="P24" s="293"/>
      <c r="Q24" s="110">
        <v>6663482.8400000008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6637956</v>
      </c>
      <c r="E26" s="288"/>
      <c r="F26" s="288"/>
      <c r="G26" s="288"/>
      <c r="H26" s="288"/>
      <c r="I26" s="292"/>
      <c r="J26" s="109">
        <v>1881195</v>
      </c>
      <c r="K26" s="288"/>
      <c r="L26" s="288"/>
      <c r="M26" s="288"/>
      <c r="N26" s="288"/>
      <c r="O26" s="292"/>
      <c r="P26" s="109">
        <v>507389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3728840</v>
      </c>
      <c r="AT26" s="113">
        <v>380097</v>
      </c>
      <c r="AU26" s="113"/>
      <c r="AV26" s="311"/>
      <c r="AW26" s="318"/>
    </row>
    <row r="27" spans="2:49" s="5" customFormat="1" ht="25.5" x14ac:dyDescent="0.2">
      <c r="B27" s="178" t="s">
        <v>85</v>
      </c>
      <c r="C27" s="133"/>
      <c r="D27" s="293"/>
      <c r="E27" s="110">
        <v>1072930.1299000003</v>
      </c>
      <c r="F27" s="110"/>
      <c r="G27" s="110"/>
      <c r="H27" s="110"/>
      <c r="I27" s="109"/>
      <c r="J27" s="293"/>
      <c r="K27" s="110">
        <v>220879.34437605352</v>
      </c>
      <c r="L27" s="110"/>
      <c r="M27" s="110"/>
      <c r="N27" s="110"/>
      <c r="O27" s="109"/>
      <c r="P27" s="293"/>
      <c r="Q27" s="110">
        <v>112855.7888220718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6008065.0000000009</v>
      </c>
      <c r="E28" s="289"/>
      <c r="F28" s="289"/>
      <c r="G28" s="289"/>
      <c r="H28" s="289"/>
      <c r="I28" s="293"/>
      <c r="J28" s="109">
        <v>3208426</v>
      </c>
      <c r="K28" s="289"/>
      <c r="L28" s="289"/>
      <c r="M28" s="289"/>
      <c r="N28" s="289"/>
      <c r="O28" s="293"/>
      <c r="P28" s="109">
        <v>346651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5579968</v>
      </c>
      <c r="AT28" s="113">
        <v>291247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5328</v>
      </c>
      <c r="K30" s="288"/>
      <c r="L30" s="288"/>
      <c r="M30" s="288"/>
      <c r="N30" s="288"/>
      <c r="O30" s="292"/>
      <c r="P30" s="109">
        <v>119</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5327.87</v>
      </c>
      <c r="L31" s="110"/>
      <c r="M31" s="110"/>
      <c r="N31" s="110"/>
      <c r="O31" s="109"/>
      <c r="P31" s="293"/>
      <c r="Q31" s="110">
        <v>-2845.1200000000003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2964</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11281558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11281558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13075344.000000002</v>
      </c>
      <c r="E36" s="110">
        <v>13075344.000000002</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25678</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-9</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-1387462</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19</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-1030617</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117743</v>
      </c>
      <c r="E49" s="110">
        <v>442359.05</v>
      </c>
      <c r="F49" s="110"/>
      <c r="G49" s="110"/>
      <c r="H49" s="110"/>
      <c r="I49" s="109"/>
      <c r="J49" s="109">
        <v>51038</v>
      </c>
      <c r="K49" s="110">
        <v>255673.85442908568</v>
      </c>
      <c r="L49" s="110"/>
      <c r="M49" s="110"/>
      <c r="N49" s="110"/>
      <c r="O49" s="109"/>
      <c r="P49" s="109">
        <v>14808</v>
      </c>
      <c r="Q49" s="110">
        <v>83960.7555709148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1525348</v>
      </c>
      <c r="AT49" s="113">
        <v>-56</v>
      </c>
      <c r="AU49" s="113"/>
      <c r="AV49" s="311"/>
      <c r="AW49" s="318"/>
    </row>
    <row r="50" spans="2:49" x14ac:dyDescent="0.2">
      <c r="B50" s="176" t="s">
        <v>119</v>
      </c>
      <c r="C50" s="133" t="s">
        <v>34</v>
      </c>
      <c r="D50" s="109">
        <v>69567</v>
      </c>
      <c r="E50" s="289"/>
      <c r="F50" s="289"/>
      <c r="G50" s="289"/>
      <c r="H50" s="289"/>
      <c r="I50" s="293"/>
      <c r="J50" s="109">
        <v>53908</v>
      </c>
      <c r="K50" s="289"/>
      <c r="L50" s="289"/>
      <c r="M50" s="289"/>
      <c r="N50" s="289"/>
      <c r="O50" s="293"/>
      <c r="P50" s="109">
        <v>10880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1038057</v>
      </c>
      <c r="AT50" s="113">
        <v>1305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v>
      </c>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46036401</v>
      </c>
      <c r="E54" s="115">
        <f>E24+E27+E31+E35-E36+E39+E42+E45+E46-E49+E51+E52+E53</f>
        <v>46358514.909900002</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17024365</v>
      </c>
      <c r="K54" s="115">
        <f>K24+K27+K31+K35-K36+K39+K42+K45+K46-K49+K51+K52+K53</f>
        <v>16626065.499946967</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5703135</v>
      </c>
      <c r="Q54" s="115">
        <f>Q24+Q27+Q31+Q35-Q36+Q39+Q42+Q45+Q46-Q49+Q51+Q52+Q53</f>
        <v>6689532.7532511577</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39507523</v>
      </c>
      <c r="AT54" s="116">
        <f>AT23+AT26-AT28+AT30-AT32+AT34-AT36+AT38+AT41-AT43+AT45+AT46-AT47-AT49+AT50+AT51+AT52+AT53</f>
        <v>1750078</v>
      </c>
      <c r="AU54" s="116">
        <f>AU23+AU26-AU28+AU30-AU32+AU34-AU36+AU38+AU41-AU43+AU45+AU46-AU47-AU49+AU50+AU51+AU52+AU53</f>
        <v>0</v>
      </c>
      <c r="AV54" s="311"/>
      <c r="AW54" s="318"/>
    </row>
    <row r="55" spans="2:49" ht="25.5" x14ac:dyDescent="0.2">
      <c r="B55" s="181" t="s">
        <v>304</v>
      </c>
      <c r="C55" s="137" t="s">
        <v>28</v>
      </c>
      <c r="D55" s="114">
        <f t="shared" ref="D55:AC55" si="0">MIN(MAX(0,D56),MAX(0,D57))</f>
        <v>57165</v>
      </c>
      <c r="E55" s="115">
        <f t="shared" si="0"/>
        <v>57165</v>
      </c>
      <c r="F55" s="115">
        <f t="shared" si="0"/>
        <v>0</v>
      </c>
      <c r="G55" s="115">
        <f t="shared" si="0"/>
        <v>0</v>
      </c>
      <c r="H55" s="115">
        <f t="shared" si="0"/>
        <v>0</v>
      </c>
      <c r="I55" s="114">
        <f t="shared" si="0"/>
        <v>0</v>
      </c>
      <c r="J55" s="114">
        <f t="shared" si="0"/>
        <v>37811</v>
      </c>
      <c r="K55" s="115">
        <f t="shared" si="0"/>
        <v>37811</v>
      </c>
      <c r="L55" s="115">
        <f t="shared" si="0"/>
        <v>0</v>
      </c>
      <c r="M55" s="115">
        <f t="shared" si="0"/>
        <v>0</v>
      </c>
      <c r="N55" s="115">
        <f t="shared" si="0"/>
        <v>0</v>
      </c>
      <c r="O55" s="114">
        <f t="shared" si="0"/>
        <v>0</v>
      </c>
      <c r="P55" s="114">
        <f t="shared" si="0"/>
        <v>2334</v>
      </c>
      <c r="Q55" s="115">
        <f t="shared" si="0"/>
        <v>2334</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146376</v>
      </c>
      <c r="E56" s="110">
        <v>146376</v>
      </c>
      <c r="F56" s="110"/>
      <c r="G56" s="110"/>
      <c r="H56" s="110"/>
      <c r="I56" s="109"/>
      <c r="J56" s="109">
        <v>65138.999999999993</v>
      </c>
      <c r="K56" s="110">
        <v>65138.999999999993</v>
      </c>
      <c r="L56" s="110"/>
      <c r="M56" s="110"/>
      <c r="N56" s="110"/>
      <c r="O56" s="109"/>
      <c r="P56" s="109">
        <v>18845</v>
      </c>
      <c r="Q56" s="110">
        <v>18845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57165</v>
      </c>
      <c r="E57" s="110">
        <v>57165</v>
      </c>
      <c r="F57" s="110"/>
      <c r="G57" s="110"/>
      <c r="H57" s="110"/>
      <c r="I57" s="109"/>
      <c r="J57" s="109">
        <v>37811</v>
      </c>
      <c r="K57" s="110">
        <v>37811</v>
      </c>
      <c r="L57" s="110"/>
      <c r="M57" s="110"/>
      <c r="N57" s="110"/>
      <c r="O57" s="109"/>
      <c r="P57" s="109">
        <v>2334</v>
      </c>
      <c r="Q57" s="110">
        <v>2334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861664</v>
      </c>
      <c r="AT57" s="113">
        <v>4070.0000000000005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39361923.950000003</v>
      </c>
      <c r="D5" s="118">
        <v>42675039.148099989</v>
      </c>
      <c r="E5" s="346"/>
      <c r="F5" s="346"/>
      <c r="G5" s="312"/>
      <c r="H5" s="117">
        <v>31960169.340000004</v>
      </c>
      <c r="I5" s="118">
        <v>24824751.241774336</v>
      </c>
      <c r="J5" s="346"/>
      <c r="K5" s="346"/>
      <c r="L5" s="312"/>
      <c r="M5" s="117">
        <v>3296375.0399999996</v>
      </c>
      <c r="N5" s="118">
        <v>5305792.2184256688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39435770.850000001</v>
      </c>
      <c r="D6" s="110">
        <v>42879683.298699982</v>
      </c>
      <c r="E6" s="115">
        <f>SUM('Pt 1 Summary of Data'!E$12,'Pt 1 Summary of Data'!E$22)+SUM('Pt 1 Summary of Data'!G$12,'Pt 1 Summary of Data'!G$22)-SUM('Pt 1 Summary of Data'!H$12,'Pt 1 Summary of Data'!H$22)</f>
        <v>46415679.909900002</v>
      </c>
      <c r="F6" s="115">
        <f t="shared" ref="F6:F11" si="0">SUM(C6:E6)</f>
        <v>128731134.05859998</v>
      </c>
      <c r="G6" s="116">
        <f>SUM('Pt 1 Summary of Data'!I$12,'Pt 1 Summary of Data'!I$22)</f>
        <v>0</v>
      </c>
      <c r="H6" s="109">
        <v>31854046.240613364</v>
      </c>
      <c r="I6" s="110">
        <v>24536622.934379734</v>
      </c>
      <c r="J6" s="115">
        <f>SUM('Pt 1 Summary of Data'!K$12,'Pt 1 Summary of Data'!K$22)+SUM('Pt 1 Summary of Data'!M$12,'Pt 1 Summary of Data'!M$22)-SUM('Pt 1 Summary of Data'!N$12,'Pt 1 Summary of Data'!N$22)</f>
        <v>16663876.499946967</v>
      </c>
      <c r="K6" s="115">
        <f>SUM(H6:J6)</f>
        <v>73054545.674940065</v>
      </c>
      <c r="L6" s="116">
        <f>SUM('Pt 1 Summary of Data'!O$12,'Pt 1 Summary of Data'!O$22)</f>
        <v>0</v>
      </c>
      <c r="M6" s="109">
        <v>3382431.1193866385</v>
      </c>
      <c r="N6" s="110">
        <v>5215194.5866202777</v>
      </c>
      <c r="O6" s="115">
        <f>SUM('Pt 1 Summary of Data'!Q$12,'Pt 1 Summary of Data'!Q$22)+SUM('Pt 1 Summary of Data'!S$12,'Pt 1 Summary of Data'!S$22)-SUM('Pt 1 Summary of Data'!T$12,'Pt 1 Summary of Data'!T$22)</f>
        <v>6691866.7532511577</v>
      </c>
      <c r="P6" s="115">
        <f>SUM(M6:O6)</f>
        <v>15289492.459258074</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1079965.48</v>
      </c>
      <c r="D7" s="110">
        <v>1149825.7400000002</v>
      </c>
      <c r="E7" s="115">
        <f>SUM('Pt 1 Summary of Data'!E$37:E$41)+SUM('Pt 1 Summary of Data'!G$37:G$41)-SUM('Pt 1 Summary of Data'!H$37:H$41)+MAX(0,MIN('Pt 1 Summary of Data'!E$42+'Pt 1 Summary of Data'!G$42-'Pt 1 Summary of Data'!H$42,0.3%*('Pt 1 Summary of Data'!E$5+'Pt 1 Summary of Data'!G$5-'Pt 1 Summary of Data'!H$5-SUM(E$9:E$11))))</f>
        <v>749264.58000000007</v>
      </c>
      <c r="F7" s="115">
        <f t="shared" si="0"/>
        <v>2979055.8000000003</v>
      </c>
      <c r="G7" s="116">
        <f>SUM('Pt 1 Summary of Data'!I$37:I$41)+MAX(0,MIN('Pt 1 Summary of Data'!I$42,0.3%*('Pt 1 Summary of Data'!I$5-SUM(G$9:G$10))))</f>
        <v>0</v>
      </c>
      <c r="H7" s="109">
        <v>1091085.1800000002</v>
      </c>
      <c r="I7" s="110">
        <v>964342.39000000013</v>
      </c>
      <c r="J7" s="115">
        <f>SUM('Pt 1 Summary of Data'!K$37:K$41)+SUM('Pt 1 Summary of Data'!M$37:M$41)-SUM('Pt 1 Summary of Data'!N$37:N$41)+MAX(0,MIN('Pt 1 Summary of Data'!K$42+'Pt 1 Summary of Data'!M$42-'Pt 1 Summary of Data'!N$42,0.3%*('Pt 1 Summary of Data'!K$5+'Pt 1 Summary of Data'!M$5-'Pt 1 Summary of Data'!N$5-SUM(J$10:J$11))))</f>
        <v>627322.94000000006</v>
      </c>
      <c r="K7" s="115">
        <f>SUM(H7:J7)</f>
        <v>2682750.5100000002</v>
      </c>
      <c r="L7" s="116">
        <f>SUM('Pt 1 Summary of Data'!O$37:O$41)+MAX(0,MIN('Pt 1 Summary of Data'!O$42,0.3%*('Pt 1 Summary of Data'!O$5-L$10)))</f>
        <v>0</v>
      </c>
      <c r="M7" s="109">
        <v>122849.33</v>
      </c>
      <c r="N7" s="110">
        <v>153955.99</v>
      </c>
      <c r="O7" s="115">
        <f>SUM('Pt 1 Summary of Data'!Q$37:Q$41)+SUM('Pt 1 Summary of Data'!S$37:S$41)-SUM('Pt 1 Summary of Data'!T$37:T$41)+MAX(0,MIN('Pt 1 Summary of Data'!Q$42+'Pt 1 Summary of Data'!S$42-'Pt 1 Summary of Data'!T$42,0.3%*('Pt 1 Summary of Data'!Q$5+'Pt 1 Summary of Data'!S$5-'Pt 1 Summary of Data'!T$5)))</f>
        <v>153823.79</v>
      </c>
      <c r="P7" s="115">
        <f>SUM(M7:O7)</f>
        <v>430629.11</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4158821.9399999995</v>
      </c>
      <c r="F9" s="115">
        <f t="shared" si="0"/>
        <v>4158821.9399999995</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2574546.0099999998</v>
      </c>
      <c r="F10" s="115">
        <f t="shared" si="0"/>
        <v>2574546.0099999998</v>
      </c>
      <c r="G10" s="116">
        <f>'Pt 2 Premium and Claims'!I$16</f>
        <v>0</v>
      </c>
      <c r="H10" s="292"/>
      <c r="I10" s="288"/>
      <c r="J10" s="115">
        <f>'Pt 2 Premium and Claims'!K$16+'Pt 2 Premium and Claims'!M$16-'Pt 2 Premium and Claims'!N$16</f>
        <v>-1101495.8600000001</v>
      </c>
      <c r="K10" s="115">
        <f>SUM(H10:J10)</f>
        <v>-1101495.8600000001</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40515736.329999998</v>
      </c>
      <c r="D12" s="115">
        <f>SUM(D$6:D$7)+IF(AND(OR('Company Information'!$C$12="District of Columbia",'Company Information'!$C$12="Massachusetts",'Company Information'!$C$12="Vermont"),SUM($C$6:$F$11,$C$15:$F$16,$C$37:$D$37)&lt;&gt;0),SUM(I$6:I$7),0)</f>
        <v>44029509.038699985</v>
      </c>
      <c r="E12" s="115">
        <f>SUM(E$6:E$7)-SUM(E$8:E$11)+IF(AND(OR('Company Information'!$C$12="District of Columbia",'Company Information'!$C$12="Massachusetts",'Company Information'!$C$12="Vermont"),SUM($C$6:$F$11,$C$15:$F$16,$C$37:$D$37)&lt;&gt;0),SUM(J$6:J$7)-SUM(J$10:J$11),0)</f>
        <v>40431576.539900005</v>
      </c>
      <c r="F12" s="115">
        <f>IFERROR(SUM(C$12:E$12)+C$17*MAX(0,E$49-C$49)+D$17*MAX(0,E$49-D$49),0)</f>
        <v>124976821.90859999</v>
      </c>
      <c r="G12" s="311"/>
      <c r="H12" s="114">
        <f>SUM(H$6:H$7)+IF(AND(OR('Company Information'!$C$12="District of Columbia",'Company Information'!$C$12="Massachusetts",'Company Information'!$C$12="Vermont"),SUM($H$6:$K$11,$H$15:$K$16,$H$37:$I$37)&lt;&gt;0),SUM(C$6:C$7),0)</f>
        <v>32945131.420613363</v>
      </c>
      <c r="I12" s="115">
        <f>SUM(I$6:I$7)+IF(AND(OR('Company Information'!$C$12="District of Columbia",'Company Information'!$C$12="Massachusetts",'Company Information'!$C$12="Vermont"),SUM($H$6:$K$11,$H$15:$K$16,$H$37:$I$37)&lt;&gt;0),SUM(D$6:D$7),0)</f>
        <v>25500965.324379735</v>
      </c>
      <c r="J12" s="115">
        <f>SUM(J$6:J$7)-SUM(J$10:J$11)+IF(AND(OR('Company Information'!$C$12="District of Columbia",'Company Information'!$C$12="Massachusetts",'Company Information'!$C$12="Vermont"),SUM($H$6:$K$11,$H$15:$K$16,$H$37:$I$37)&lt;&gt;0),SUM(E$6:E$7)-SUM(E$8:E$11),0)</f>
        <v>18392695.299946968</v>
      </c>
      <c r="K12" s="115">
        <f>IFERROR(SUM(H$12:J$12)+H$17*MAX(0,J$49-H$49)+I$17*MAX(0,J$49-I$49),0)</f>
        <v>76838792.044940069</v>
      </c>
      <c r="L12" s="311"/>
      <c r="M12" s="114">
        <f>SUM(M$6:M$7)</f>
        <v>3505280.4493866386</v>
      </c>
      <c r="N12" s="115">
        <f>SUM(N$6:N$7)</f>
        <v>5369150.5766202779</v>
      </c>
      <c r="O12" s="115">
        <f>SUM(O$6:O$7)</f>
        <v>6845690.5432511577</v>
      </c>
      <c r="P12" s="115">
        <f>SUM(M$12:O$12)+M$17*MAX(0,O$49-M$49)+N$17*MAX(0,O$49-N$49)</f>
        <v>15720121.569258075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47090410.93</v>
      </c>
      <c r="D15" s="118">
        <v>50092123.523444988</v>
      </c>
      <c r="E15" s="106">
        <f>SUM('Pt 1 Summary of Data'!E$5:E$7)+SUM('Pt 1 Summary of Data'!G$5:G$7)-SUM('Pt 1 Summary of Data'!H$5:H$7)-SUM(E$9:E$11)+D$55</f>
        <v>45699005.876555003</v>
      </c>
      <c r="F15" s="106">
        <f>SUM(C15:E15)</f>
        <v>142881540.32999998</v>
      </c>
      <c r="G15" s="107">
        <f>SUM('Pt 1 Summary of Data'!I$5:I$7)-SUM(G$9:G$10)</f>
        <v>0</v>
      </c>
      <c r="H15" s="117">
        <v>32556715.43</v>
      </c>
      <c r="I15" s="118">
        <v>30760980.174321398</v>
      </c>
      <c r="J15" s="106">
        <f>SUM('Pt 1 Summary of Data'!K$5:K$7)+SUM('Pt 1 Summary of Data'!M$5:M$7)-SUM('Pt 1 Summary of Data'!N$5:N$7)-SUM(J$10:J$11)+I$55</f>
        <v>22393695.575205997</v>
      </c>
      <c r="K15" s="106">
        <f>SUM(H15:J15)</f>
        <v>85711391.179527402</v>
      </c>
      <c r="L15" s="107">
        <f>SUM('Pt 1 Summary of Data'!O$5:O$7)-L$10</f>
        <v>0</v>
      </c>
      <c r="M15" s="117">
        <v>3841804.03</v>
      </c>
      <c r="N15" s="118">
        <v>6209422.8421899471</v>
      </c>
      <c r="O15" s="106">
        <f>SUM('Pt 1 Summary of Data'!Q$5:Q$7)+SUM('Pt 1 Summary of Data'!S$5:S$7)-SUM('Pt 1 Summary of Data'!T$5:T$7)+N$55</f>
        <v>8002641.4154926538</v>
      </c>
      <c r="P15" s="106">
        <f>SUM(M15:O15)</f>
        <v>18053868.2876826</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-3346163</v>
      </c>
      <c r="D16" s="110">
        <v>-2599308.7311132769</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-2184256.7371867239</v>
      </c>
      <c r="F16" s="115">
        <f>SUM(C16:E16)</f>
        <v>-8129728.4683000017</v>
      </c>
      <c r="G16" s="116">
        <f>SUM('Pt 1 Summary of Data'!I$25:I$28,'Pt 1 Summary of Data'!I$30,'Pt 1 Summary of Data'!I$34:I$35)+IF('Company Information'!$C$15="No",IF(MAX('Pt 1 Summary of Data'!I$31:I$32)=0,MIN('Pt 1 Summary of Data'!I$31:I$32),MAX('Pt 1 Summary of Data'!I$31:I$32)),SUM('Pt 1 Summary of Data'!I$31:I$32))</f>
        <v>0</v>
      </c>
      <c r="H16" s="109">
        <v>-1988847</v>
      </c>
      <c r="I16" s="110">
        <v>-337038.87448281248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1205701.4982628126</v>
      </c>
      <c r="K16" s="115">
        <f>SUM(H16:J16)</f>
        <v>-1120184.3762199997</v>
      </c>
      <c r="L16" s="116">
        <f>SUM('Pt 1 Summary of Data'!O$25:O$28,'Pt 1 Summary of Data'!O$30,'Pt 1 Summary of Data'!O$34:O$35)+IF('Company Information'!$C$15="No",IF(MAX('Pt 1 Summary of Data'!O$31:O$32)=0,MIN('Pt 1 Summary of Data'!O$31:O$32),MAX('Pt 1 Summary of Data'!O$31:O$32)),SUM('Pt 1 Summary of Data'!O$31:O$32))</f>
        <v>0</v>
      </c>
      <c r="M16" s="109">
        <v>-107799.99999999999</v>
      </c>
      <c r="N16" s="110">
        <v>183110.27032121507</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-218962.21389121504</v>
      </c>
      <c r="P16" s="115">
        <f>SUM(M16:O16)</f>
        <v>-143651.94356999994</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50436573.93</v>
      </c>
      <c r="D17" s="115">
        <f>D$15-D$16+IF(AND(OR('Company Information'!$C$12="District of Columbia",'Company Information'!$C$12="Massachusetts",'Company Information'!$C$12="Vermont"),SUM($C$6:$F$11,$C$15:$F$16,$C$37:$D$37)&lt;&gt;0),I$15-I$16,0)</f>
        <v>52691432.254558265</v>
      </c>
      <c r="E17" s="115">
        <f>E$15-E$16+IF(AND(OR('Company Information'!$C$12="District of Columbia",'Company Information'!$C$12="Massachusetts",'Company Information'!$C$12="Vermont"),SUM($C$6:$F$11,$C$15:$F$16,$C$37:$D$37)&lt;&gt;0),J$15-J$16,0)</f>
        <v>47883262.613741726</v>
      </c>
      <c r="F17" s="115">
        <f>F$15-F$16+IF(AND(OR('Company Information'!$C$12="District of Columbia",'Company Information'!$C$12="Massachusetts",'Company Information'!$C$12="Vermont"),SUM($C$6:$F$11,$C$15:$F$16,$C$37:$D$37)&lt;&gt;0),K$15-K$16,0)</f>
        <v>151011268.7983</v>
      </c>
      <c r="G17" s="314"/>
      <c r="H17" s="114">
        <f>H$15-H$16+IF(AND(OR('Company Information'!$C$12="District of Columbia",'Company Information'!$C$12="Massachusetts",'Company Information'!$C$12="Vermont"),SUM($H$6:$K$11,$H$15:$K$16,$H$37:$I$37)&lt;&gt;0),C$15-C$16,0)</f>
        <v>34545562.43</v>
      </c>
      <c r="I17" s="115">
        <f>I$15-I$16+IF(AND(OR('Company Information'!$C$12="District of Columbia",'Company Information'!$C$12="Massachusetts",'Company Information'!$C$12="Vermont"),SUM($H$6:$K$11,$H$15:$K$16,$H$37:$I$37)&lt;&gt;0),D$15-D$16,0)</f>
        <v>31098019.048804212</v>
      </c>
      <c r="J17" s="115">
        <f>J$15-J$16+IF(AND(OR('Company Information'!$C$12="District of Columbia",'Company Information'!$C$12="Massachusetts",'Company Information'!$C$12="Vermont"),SUM($H$6:$K$11,$H$15:$K$16,$H$37:$I$37)&lt;&gt;0),E$15-E$16,0)</f>
        <v>21187994.076943185</v>
      </c>
      <c r="K17" s="115">
        <f>K$15-K$16+IF(AND(OR('Company Information'!$C$12="District of Columbia",'Company Information'!$C$12="Massachusetts",'Company Information'!$C$12="Vermont"),SUM($H$6:$K$11,$H$15:$K$16,$H$37:$I$37)&lt;&gt;0),F$15-F$16,0)</f>
        <v>86831575.555747405</v>
      </c>
      <c r="L17" s="314"/>
      <c r="M17" s="114">
        <f>M$15-M$16</f>
        <v>3949604.03</v>
      </c>
      <c r="N17" s="115">
        <f>N$15-N$16</f>
        <v>6026312.5718687316</v>
      </c>
      <c r="O17" s="115">
        <f>O$15-O$16</f>
        <v>8221603.6293838685</v>
      </c>
      <c r="P17" s="115">
        <f>P$15-P$16</f>
        <v>18197520.2312526</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40739.916666666664</v>
      </c>
      <c r="D37" s="122">
        <v>41810</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34911.166666666664</v>
      </c>
      <c r="F37" s="256">
        <f>SUM(C$37:E$37)+IF(AND(OR('Company Information'!$C$12="District of Columbia",'Company Information'!$C$12="Massachusetts",'Company Information'!$C$12="Vermont"),SUM($C$6:$F$11,$C$15:$F$16,$C$37:$D$37)&lt;&gt;0,SUM(C$37:D$37)&lt;&gt;SUM(H$37:I$37)),SUM(H$37:I$37),0)</f>
        <v>117461.08333333331</v>
      </c>
      <c r="G37" s="312"/>
      <c r="H37" s="121">
        <v>12310.666666666666</v>
      </c>
      <c r="I37" s="122">
        <v>11005</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7470.5</v>
      </c>
      <c r="K37" s="256">
        <f>SUM(H$37:J$37)+IF(AND(OR('Company Information'!$C$12="District of Columbia",'Company Information'!$C$12="Massachusetts",'Company Information'!$C$12="Vermont"),SUM($H$6:$K$11,$H$15:$K$16,$H$37:$I$37)&lt;&gt;0,SUM(H$37:I$37)&lt;&gt;SUM(C$37:D$37)),SUM(C$37:D$37),0)</f>
        <v>30786.166666666664</v>
      </c>
      <c r="L37" s="312"/>
      <c r="M37" s="121">
        <v>1329.0833333333333</v>
      </c>
      <c r="N37" s="122">
        <v>1940</v>
      </c>
      <c r="O37" s="256">
        <f>('Pt 1 Summary of Data'!Q$59+'Pt 1 Summary of Data'!S$59-'Pt 1 Summary of Data'!T$59)/12</f>
        <v>2615.25</v>
      </c>
      <c r="P37" s="256">
        <f>SUM(M$37:O$37)</f>
        <v>5884.333333333333</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1.5074213333333334E-2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3.5054466666666666E-2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4744.9137321527478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1.3777157873009416</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 ca="1">IF(OR(K$37&lt;1000,K$37&gt;=75000),0,K$38*K$40)</f>
        <v>1.5074213333333334E-2</v>
      </c>
      <c r="L41" s="311"/>
      <c r="M41" s="292"/>
      <c r="N41" s="288"/>
      <c r="O41" s="288"/>
      <c r="P41" s="260">
        <f ca="1">IF(OR(P$37&lt;1000,P$37&gt;=75000),0,P$38*P$40)</f>
        <v>3.5054466666666666E-2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0.80330072352319271</v>
      </c>
      <c r="D44" s="260">
        <f>IF(OR(D$37&lt;1000,D$17&lt;=0),"",D$12/D$17)</f>
        <v>0.83561040485649452</v>
      </c>
      <c r="E44" s="260">
        <f>IF(OR(E$37&lt;1000,E$17&lt;=0),"",E$12/E$17)</f>
        <v>0.84437806308329522</v>
      </c>
      <c r="F44" s="260">
        <f>IF(OR(F$37&lt;1000,F$17&lt;=0),"",F$12/F$17)</f>
        <v>0.8275993103238326</v>
      </c>
      <c r="G44" s="311"/>
      <c r="H44" s="262">
        <f>IF(OR(H$37&lt;1000,H$17&lt;=0),"",H$12/H$17)</f>
        <v>0.95367187862031177</v>
      </c>
      <c r="I44" s="260">
        <f>IF(OR(I$37&lt;1000,I$17&lt;=0),"",I$12/I$17)</f>
        <v>0.82001896276284847</v>
      </c>
      <c r="J44" s="260">
        <f>IF(OR(J$37&lt;1000,J$17&lt;=0),"",J$12/J$17)</f>
        <v>0.86807157077516517</v>
      </c>
      <c r="K44" s="260">
        <f>IF(OR(K$37&lt;1000,K$17&lt;=0),"",K$12/K$17)</f>
        <v>0.88491762994221157</v>
      </c>
      <c r="L44" s="311"/>
      <c r="M44" s="262">
        <f>IF(OR(M$37&lt;1000,M$17&lt;=0),"",M$12/M$17)</f>
        <v>0.88750174011409411</v>
      </c>
      <c r="N44" s="260">
        <f>IF(OR(N$37&lt;1000,N$17&lt;=0),"",N$12/N$17)</f>
        <v>0.89095122640731683</v>
      </c>
      <c r="O44" s="260">
        <f>IF(OR(O$37&lt;1000,O$17&lt;=0),"",O$12/O$17)</f>
        <v>0.83264662854637972</v>
      </c>
      <c r="P44" s="260">
        <f>IF(OR(P$37&lt;1000,P$17&lt;=0),"",P$12/P$17)</f>
        <v>0.86386064526858908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IF(F$44="","",F$41)</f>
        <v>0</v>
      </c>
      <c r="G46" s="311"/>
      <c r="H46" s="292"/>
      <c r="I46" s="288"/>
      <c r="J46" s="288"/>
      <c r="K46" s="260">
        <f ca="1">IF(K$44="","",K$41)</f>
        <v>1.5074213333333334E-2</v>
      </c>
      <c r="L46" s="311"/>
      <c r="M46" s="292"/>
      <c r="N46" s="288"/>
      <c r="O46" s="288"/>
      <c r="P46" s="260">
        <f ca="1">IF(P$44="","",P$41)</f>
        <v>3.5054466666666666E-2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IF(F$44="","",ROUND(F$44+MAX(0,F$46),3))</f>
        <v>0.82799999999999996</v>
      </c>
      <c r="G47" s="311"/>
      <c r="H47" s="292"/>
      <c r="I47" s="288"/>
      <c r="J47" s="288"/>
      <c r="K47" s="260">
        <f ca="1">IF(K$44="","",ROUND(K$44+MAX(0,K$46),3))</f>
        <v>0.9</v>
      </c>
      <c r="L47" s="311"/>
      <c r="M47" s="292"/>
      <c r="N47" s="288"/>
      <c r="O47" s="288"/>
      <c r="P47" s="260">
        <f ca="1">IF(P$44="","",ROUND(P$44+MAX(0,P$46),3))</f>
        <v>0.89900000000000002</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0</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0.82799999999999996</v>
      </c>
      <c r="G50" s="311"/>
      <c r="H50" s="293"/>
      <c r="I50" s="289"/>
      <c r="J50" s="289"/>
      <c r="K50" s="260">
        <f ca="1">K$47</f>
        <v>0.9</v>
      </c>
      <c r="L50" s="311"/>
      <c r="M50" s="293"/>
      <c r="N50" s="289"/>
      <c r="O50" s="289"/>
      <c r="P50" s="260">
        <f ca="1">P$47</f>
        <v>0.89900000000000002</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47883262.613741726</v>
      </c>
      <c r="G51" s="311"/>
      <c r="H51" s="292"/>
      <c r="I51" s="288"/>
      <c r="J51" s="288"/>
      <c r="K51" s="115">
        <f>IF(K$37&lt;1000,"",MAX(0,J$15-J$16))</f>
        <v>21187994.076943185</v>
      </c>
      <c r="L51" s="311"/>
      <c r="M51" s="292"/>
      <c r="N51" s="288"/>
      <c r="O51" s="288"/>
      <c r="P51" s="115">
        <f>IF(P$37&lt;1000,"",MAX(0,O$15-O$16))</f>
        <v>8221603.6293838685</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 ca="1">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398222.62655500171</v>
      </c>
      <c r="E55" s="288"/>
      <c r="F55" s="288"/>
      <c r="G55" s="311"/>
      <c r="H55" s="292"/>
      <c r="I55" s="110">
        <v>158732.767719</v>
      </c>
      <c r="J55" s="288"/>
      <c r="K55" s="288"/>
      <c r="L55" s="311"/>
      <c r="M55" s="292"/>
      <c r="N55" s="110">
        <v>25628.227915853491</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-20663.268886723003</v>
      </c>
      <c r="E56" s="288"/>
      <c r="F56" s="288"/>
      <c r="G56" s="311"/>
      <c r="H56" s="292"/>
      <c r="I56" s="110">
        <v>-1739.1255171874996</v>
      </c>
      <c r="J56" s="288"/>
      <c r="K56" s="288"/>
      <c r="L56" s="311"/>
      <c r="M56" s="292"/>
      <c r="N56" s="110">
        <v>755.72967878492091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10626</v>
      </c>
      <c r="D4" s="149">
        <f>'Pt 1 Summary of Data'!$K$56+'Pt 1 Summary of Data'!$M$56-'Pt 1 Summary of Data'!$N$56</f>
        <v>2512</v>
      </c>
      <c r="E4" s="149">
        <f>'Pt 1 Summary of Data'!$Q$56+'Pt 1 Summary of Data'!$S$56-'Pt 1 Summary of Data'!$T$56</f>
        <v>1205</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 ca="1">'Pt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494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2015-08-17T14:08:31Z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