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AB40" i="10"/>
  <c r="X40" i="10"/>
  <c r="T40" i="10"/>
  <c r="P40" i="10"/>
  <c r="K40" i="10"/>
  <c r="F40" i="10"/>
  <c r="AB38" i="10"/>
  <c r="P38" i="10"/>
  <c r="K38" i="10"/>
  <c r="AB37" i="10"/>
  <c r="AA37" i="10"/>
  <c r="X37" i="10"/>
  <c r="W37" i="10"/>
  <c r="T37" i="10"/>
  <c r="S37" i="10"/>
  <c r="P37" i="10"/>
  <c r="O37" i="10"/>
  <c r="K37" i="10"/>
  <c r="J37" i="10"/>
  <c r="F37" i="10"/>
  <c r="E37" i="10"/>
  <c r="L29" i="10"/>
  <c r="L28" i="10"/>
  <c r="G28" i="10"/>
  <c r="L25" i="10"/>
  <c r="G25" i="10"/>
  <c r="L21" i="10"/>
  <c r="L20" i="10"/>
  <c r="G20" i="10"/>
  <c r="L19" i="10"/>
  <c r="L24" i="10" s="1"/>
  <c r="L23" i="10" s="1"/>
  <c r="L27"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AB15" i="10"/>
  <c r="AA15" i="10"/>
  <c r="X15" i="10"/>
  <c r="W15" i="10"/>
  <c r="U13" i="10" s="1"/>
  <c r="T15" i="10"/>
  <c r="S15" i="10"/>
  <c r="P15" i="10"/>
  <c r="O15" i="10"/>
  <c r="L15" i="10"/>
  <c r="K15" i="10"/>
  <c r="J15" i="10"/>
  <c r="G15" i="10"/>
  <c r="F15" i="10"/>
  <c r="E15" i="10"/>
  <c r="AB13" i="10"/>
  <c r="AA13" i="10"/>
  <c r="Z13" i="10"/>
  <c r="Y13" i="10"/>
  <c r="P12" i="10"/>
  <c r="O12" i="10"/>
  <c r="N12" i="10"/>
  <c r="M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9" i="10" s="1"/>
  <c r="AB6" i="10"/>
  <c r="AA6" i="10"/>
  <c r="X6" i="10"/>
  <c r="W6" i="10"/>
  <c r="T6" i="10"/>
  <c r="S6" i="10"/>
  <c r="P6" i="10"/>
  <c r="O6" i="10"/>
  <c r="L6" i="10"/>
  <c r="K6" i="10"/>
  <c r="J6" i="10"/>
  <c r="G6" i="10"/>
  <c r="F6" i="10"/>
  <c r="E6" i="10"/>
  <c r="AU55" i="18"/>
  <c r="AT55" i="18"/>
  <c r="AS55" i="18"/>
  <c r="AC55" i="18"/>
  <c r="AB55" i="18"/>
  <c r="AA55" i="18"/>
  <c r="Z55" i="18"/>
  <c r="Y55" i="18"/>
  <c r="X55" i="18"/>
  <c r="X22" i="4" s="1"/>
  <c r="W55" i="18"/>
  <c r="W22" i="4" s="1"/>
  <c r="V55" i="18"/>
  <c r="U55" i="18"/>
  <c r="T55" i="18"/>
  <c r="S55" i="18"/>
  <c r="R55" i="18"/>
  <c r="R22" i="4" s="1"/>
  <c r="Q55" i="18"/>
  <c r="P55" i="18"/>
  <c r="P22" i="4" s="1"/>
  <c r="O55" i="18"/>
  <c r="O22" i="4" s="1"/>
  <c r="N55" i="18"/>
  <c r="M55" i="18"/>
  <c r="M22" i="4" s="1"/>
  <c r="L55" i="18"/>
  <c r="L22" i="4" s="1"/>
  <c r="K55" i="18"/>
  <c r="K22" i="4" s="1"/>
  <c r="J55" i="18"/>
  <c r="J22" i="4" s="1"/>
  <c r="I55" i="18"/>
  <c r="I22" i="4" s="1"/>
  <c r="H55" i="18"/>
  <c r="G55" i="18"/>
  <c r="G22" i="4" s="1"/>
  <c r="F55" i="18"/>
  <c r="E55" i="18"/>
  <c r="D55" i="18"/>
  <c r="D22" i="4" s="1"/>
  <c r="AU54" i="18"/>
  <c r="AT54" i="18"/>
  <c r="AT12" i="4" s="1"/>
  <c r="AS54" i="18"/>
  <c r="AC54" i="18"/>
  <c r="AC12" i="4" s="1"/>
  <c r="AB54" i="18"/>
  <c r="AB12" i="4" s="1"/>
  <c r="AA54" i="18"/>
  <c r="AA12" i="4" s="1"/>
  <c r="Z54" i="18"/>
  <c r="Y54" i="18"/>
  <c r="X54" i="18"/>
  <c r="W54" i="18"/>
  <c r="W12" i="4" s="1"/>
  <c r="V54" i="18"/>
  <c r="U54" i="18"/>
  <c r="U12" i="4" s="1"/>
  <c r="T54" i="18"/>
  <c r="T12" i="4" s="1"/>
  <c r="S54" i="18"/>
  <c r="S12" i="4" s="1"/>
  <c r="R54" i="18"/>
  <c r="Q54" i="18"/>
  <c r="P54" i="18"/>
  <c r="O54" i="18"/>
  <c r="N54" i="18"/>
  <c r="N12" i="4" s="1"/>
  <c r="M54" i="18"/>
  <c r="L54" i="18"/>
  <c r="L12" i="4" s="1"/>
  <c r="K54" i="18"/>
  <c r="K12" i="4" s="1"/>
  <c r="J54" i="18"/>
  <c r="I54" i="18"/>
  <c r="H54" i="18"/>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V22" i="4"/>
  <c r="U22" i="4"/>
  <c r="T22" i="4"/>
  <c r="S22" i="4"/>
  <c r="Q22" i="4"/>
  <c r="N22" i="4"/>
  <c r="H22" i="4"/>
  <c r="F22" i="4"/>
  <c r="E22" i="4"/>
  <c r="AU12" i="4"/>
  <c r="AS12" i="4"/>
  <c r="Z12" i="4"/>
  <c r="Y12" i="4"/>
  <c r="X12" i="4"/>
  <c r="V12" i="4"/>
  <c r="R12" i="4"/>
  <c r="Q12" i="4"/>
  <c r="P12" i="4"/>
  <c r="O12" i="4"/>
  <c r="M12" i="4"/>
  <c r="J12" i="4"/>
  <c r="I12" i="4"/>
  <c r="H12" i="4"/>
  <c r="G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19" i="10"/>
  <c r="G24" i="10" s="1"/>
  <c r="G23" i="10" s="1"/>
  <c r="G27" i="10" s="1"/>
  <c r="G21" i="10"/>
  <c r="X46" i="10"/>
  <c r="T13" i="10"/>
  <c r="T38" i="10"/>
  <c r="T46" i="10"/>
  <c r="X38" i="10"/>
  <c r="F38" i="10"/>
  <c r="F41" i="10" s="1"/>
  <c r="F46" i="10" s="1"/>
  <c r="F47" i="10" s="1"/>
  <c r="F50" i="10" s="1"/>
  <c r="F52" i="10" s="1"/>
  <c r="C11" i="16" s="1"/>
  <c r="V13" i="10"/>
  <c r="X13" i="10"/>
  <c r="R13" i="10"/>
  <c r="J12" i="10"/>
  <c r="I12" i="10"/>
  <c r="H12" i="10"/>
  <c r="E12" i="10"/>
  <c r="C12" i="10"/>
  <c r="D12" i="10"/>
  <c r="W13" i="10"/>
  <c r="S13" i="10"/>
  <c r="Q13" i="10"/>
  <c r="G26" i="10" l="1"/>
  <c r="G30" i="10" s="1"/>
  <c r="G31" i="10"/>
  <c r="G32" i="10" s="1"/>
  <c r="G33" i="10" s="1"/>
  <c r="K12" i="10"/>
  <c r="F12"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<sst xmlns="http://schemas.openxmlformats.org/spreadsheetml/2006/main" count="568" uniqueCount="507">
  <si>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</si>
  <si>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</si>
  <si>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</si>
  <si>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</si>
  <si>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</si>
  <si>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</si>
  <si>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</si>
  <si>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</si>
  <si>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</si>
  <si>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</si>
  <si>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</si>
  <si>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</si>
  <si>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</si>
  <si>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</si>
  <si>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</si>
  <si>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</si>
  <si>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</si>
  <si>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</si>
  <si>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</si>
  <si>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</si>
  <si>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</si>
  <si>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</si>
  <si>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</si>
  <si>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</si>
  <si>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</si>
  <si>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</si>
  <si>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</si>
  <si>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</si>
  <si>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</si>
  <si>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</si>
  <si>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</si>
  <si>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</si>
  <si>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</si>
  <si>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</si>
  <si>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</si>
  <si>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</si>
  <si>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</si>
  <si>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</si>
  <si>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</si>
  <si>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</si>
  <si>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</si>
  <si>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</si>
  <si>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</si>
  <si>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</si>
  <si>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</si>
  <si>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</si>
  <si>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</si>
  <si>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</si>
  <si>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</si>
  <si>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</si>
  <si>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</si>
  <si>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</si>
  <si>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</si>
  <si>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</si>
  <si>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</si>
  <si>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</si>
  <si>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</si>
  <si>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</si>
  <si>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</si>
  <si>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</si>
  <si>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</si>
  <si>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</si>
  <si>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</si>
  <si>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</si>
  <si>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</si>
  <si>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</si>
  <si>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</si>
  <si>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</si>
  <si>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</si>
  <si>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</si>
  <si>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</si>
  <si>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</si>
  <si>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</si>
  <si>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</si>
  <si>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</si>
  <si>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</si>
  <si>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</si>
  <si>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</si>
  <si>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</si>
  <si>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</si>
  <si>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</si>
  <si>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</si>
  <si>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</si>
  <si>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</si>
  <si>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</si>
  <si>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</si>
  <si>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</si>
  <si>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</si>
  <si>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</si>
  <si>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</si>
  <si>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</si>
  <si>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</si>
  <si>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</si>
  <si>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</si>
  <si>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</si>
  <si>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</si>
  <si>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</si>
  <si>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</si>
  <si>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</si>
  <si>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</si>
  <si>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</si>
  <si>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</si>
  <si>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</si>
  <si>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</si>
  <si>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</si>
  <si>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</si>
  <si>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</si>
  <si>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</si>
  <si>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</si>
  <si>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</si>
  <si>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</si>
  <si>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</si>
  <si>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</si>
  <si>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</si>
  <si>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</si>
  <si>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</si>
  <si>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</si>
  <si>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</si>
  <si>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</si>
  <si>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</si>
  <si>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</si>
  <si>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</si>
  <si>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</si>
  <si>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</si>
  <si>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</si>
  <si>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</si>
  <si>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</si>
  <si>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</si>
  <si>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</si>
  <si>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</si>
  <si>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</si>
  <si>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</si>
  <si>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</si>
  <si>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</si>
  <si>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</si>
  <si>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</si>
  <si>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</si>
  <si>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</si>
  <si>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</si>
  <si>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</si>
  <si>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</si>
  <si>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</si>
  <si>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</si>
  <si>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</si>
  <si>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</si>
  <si>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</si>
  <si>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</si>
  <si>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</si>
  <si>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</si>
  <si>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</si>
  <si>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</si>
  <si>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</si>
  <si>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</si>
  <si>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</si>
  <si>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</si>
  <si>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</si>
  <si>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</si>
  <si>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</si>
  <si>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</si>
  <si>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</si>
  <si>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</si>
  <si>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</si>
  <si>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</si>
  <si>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</si>
  <si>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</si>
  <si>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</si>
  <si>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</si>
  <si>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</si>
  <si>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</si>
  <si>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</si>
  <si>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</si>
  <si>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</si>
  <si>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</si>
  <si>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</si>
  <si>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</si>
  <si>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</si>
  <si>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</si>
  <si>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</si>
  <si>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</si>
  <si>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</si>
  <si>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</si>
  <si>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</si>
  <si>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</si>
  <si>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</si>
  <si>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</si>
  <si>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</si>
  <si>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</si>
  <si>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</si>
  <si>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</si>
  <si>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</si>
  <si>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</si>
  <si>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</si>
  <si>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</si>
  <si>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</si>
  <si>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</si>
  <si>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</si>
  <si>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</si>
  <si>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</si>
  <si>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</si>
  <si>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</si>
  <si>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</si>
  <si>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</si>
  <si>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</si>
  <si>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</si>
  <si>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</si>
  <si>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</si>
  <si>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</si>
  <si>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</si>
  <si>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</si>
  <si>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</si>
  <si>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</si>
  <si>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</si>
  <si>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</si>
  <si>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</si>
  <si>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</si>
  <si>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</si>
  <si>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</si>
  <si>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</si>
  <si>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</si>
  <si>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</si>
  <si>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</si>
  <si>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</si>
  <si>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</si>
  <si>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</si>
  <si>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</si>
  <si>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</si>
  <si>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</si>
  <si>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</si>
  <si>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</si>
  <si>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</si>
  <si>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</si>
  <si>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</si>
  <si>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</si>
  <si>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</si>
  <si>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</si>
  <si>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</si>
  <si>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</si>
  <si>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</si>
  <si>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</si>
  <si>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</si>
  <si>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</si>
  <si>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</si>
  <si>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</si>
  <si>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</si>
  <si>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</si>
  <si>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</si>
  <si>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</si>
  <si>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</si>
  <si>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</si>
  <si>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</si>
  <si>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</si>
  <si>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</si>
  <si>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</si>
  <si>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</si>
  <si>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</si>
  <si>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</si>
  <si>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</si>
  <si>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</si>
  <si>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</si>
  <si>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</si>
  <si>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</si>
  <si>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</si>
  <si>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</si>
  <si>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</si>
  <si>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</si>
  <si>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</si>
  <si>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</si>
  <si>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</si>
  <si>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</si>
  <si>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</si>
  <si>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</si>
  <si>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</si>
  <si>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</si>
  <si>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</si>
  <si>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</si>
  <si>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</si>
  <si>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</si>
  <si>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</si>
  <si>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</si>
  <si>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</si>
  <si>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</si>
  <si>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</si>
  <si>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</si>
  <si>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</si>
  <si>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</si>
  <si>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</si>
  <si>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</si>
  <si>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</si>
  <si>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</si>
  <si>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</si>
  <si>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</si>
  <si>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</si>
  <si>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</si>
  <si>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</si>
  <si>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</si>
  <si>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</si>
  <si>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</si>
  <si>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</si>
  <si>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</si>
  <si>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</si>
  <si>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</si>
  <si>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</si>
  <si>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</si>
  <si>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</si>
  <si>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</si>
  <si>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</si>
  <si>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</si>
  <si>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</si>
  <si>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</si>
  <si>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</si>
  <si>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</si>
  <si>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</si>
  <si>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</si>
  <si>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</si>
  <si>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</si>
  <si>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</si>
  <si>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</si>
  <si>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</si>
  <si>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</si>
  <si>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</si>
  <si>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</si>
  <si>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</si>
  <si>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</si>
  <si>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</si>
  <si>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</si>
  <si>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</si>
  <si>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</si>
  <si>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</si>
  <si>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</si>
  <si>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</si>
  <si>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</si>
  <si>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</si>
  <si>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</si>
  <si>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</si>
  <si>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</si>
  <si>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</si>
  <si>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</si>
  <si>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</si>
  <si>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</si>
  <si>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</si>
  <si>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</si>
  <si>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</si>
  <si>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</si>
  <si>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</si>
  <si>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</si>
  <si>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</si>
  <si>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</si>
  <si>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</si>
  <si>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</si>
  <si>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</si>
  <si>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</si>
  <si>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</si>
  <si>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</si>
  <si>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</si>
  <si>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</si>
  <si>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</si>
  <si>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</si>
  <si>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</si>
  <si>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</si>
  <si>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</si>
  <si>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</si>
  <si>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</si>
  <si>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</si>
  <si>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</si>
  <si>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</si>
  <si>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</si>
  <si>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</si>
  <si>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</si>
  <si>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</si>
  <si>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</si>
  <si>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</si>
  <si>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</si>
  <si>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</si>
  <si>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</si>
  <si>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</si>
  <si>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</si>
  <si>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</si>
  <si>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</si>
  <si>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</si>
  <si>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</si>
  <si>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</si>
  <si>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</si>
  <si>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</si>
  <si>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</si>
  <si>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</si>
  <si>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</si>
  <si>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</si>
  <si>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</si>
  <si>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</si>
  <si>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</si>
  <si>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</si>
  <si>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</si>
  <si>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</si>
  <si>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</si>
  <si>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</si>
  <si>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</si>
  <si>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</si>
  <si>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</si>
  <si>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</si>
  <si>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</si>
  <si>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</si>
  <si>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</si>
  <si>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</si>
  <si>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</si>
  <si>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</si>
  <si>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</si>
  <si>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</si>
  <si>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</si>
  <si>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</si>
  <si>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</si>
  <si>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</si>
  <si>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</si>
  <si>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</si>
  <si>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</si>
  <si>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</si>
  <si>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</si>
  <si>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</si>
  <si>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</si>
  <si>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</si>
  <si>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</si>
  <si>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</si>
  <si>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</si>
  <si>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</si>
  <si>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</si>
  <si>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</si>
  <si>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</si>
  <si>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</si>
  <si>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</si>
  <si>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</si>
  <si>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</si>
  <si>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</si>
  <si>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</si>
  <si>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</si>
  <si>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</si>
  <si>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</si>
  <si>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</si>
  <si>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</si>
  <si>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</si>
  <si>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</si>
  <si>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</si>
  <si>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</si>
  <si>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</si>
  <si>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</si>
  <si>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</si>
  <si>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</si>
  <si>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</si>
  <si>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</si>
  <si>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</si>
  <si>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</si>
  <si>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</si>
  <si>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</si>
  <si>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</si>
  <si>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</si>
  <si>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</si>
  <si>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</si>
  <si>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</si>
  <si>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</si>
  <si>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</si>
  <si>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</si>
  <si>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</si>
  <si>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</si>
  <si>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</si>
  <si>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</si>
  <si>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</si>
  <si>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</si>
  <si>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</si>
  <si>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</si>
  <si>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</si>
  <si>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</si>
  <si>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</si>
  <si>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</si>
  <si>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</si>
  <si>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</si>
  <si>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</si>
  <si>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</si>
  <si>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</si>
  <si>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</si>
  <si>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</si>
  <si>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</si>
  <si>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</si>
  <si>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</si>
  <si>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</si>
  <si>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</si>
  <si>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</si>
  <si>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</si>
  <si>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</si>
  <si>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</si>
  <si>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</si>
  <si>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</si>
  <si>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</si>
  <si>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</si>
  <si>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</si>
  <si>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</si>
  <si>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</si>
  <si>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</si>
  <si>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</si>
  <si>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</si>
  <si>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</si>
  <si>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</si>
  <si>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</si>
  <si>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</si>
  <si>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</si>
  <si>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</si>
  <si>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50727</t>
  </si>
  <si>
    <t>219</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</si>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</sst>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188</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6357116</v>
      </c>
      <c r="E5" s="112">
        <f>SUM('Pt 2 Premium and Claims'!E$5,'Pt 2 Premium and Claims'!E$6,-'Pt 2 Premium and Claims'!E$7,-'Pt 2 Premium and Claims'!E$13,'Pt 2 Premium and Claims'!E$14:'Pt 2 Premium and Claims'!E$17)</f>
        <v>8947238.3699999992</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51958</v>
      </c>
      <c r="K5" s="112">
        <f>SUM('Pt 2 Premium and Claims'!K$5,'Pt 2 Premium and Claims'!K$6,-'Pt 2 Premium and Claims'!K$7,-'Pt 2 Premium and Claims'!K$13,'Pt 2 Premium and Claims'!K$14,'Pt 2 Premium and Claims'!K$16:'Pt 2 Premium and Claims'!K$17)</f>
        <v>43838.209999999992</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97552</v>
      </c>
      <c r="Q5" s="112">
        <f>SUM('Pt 2 Premium and Claims'!Q$5,'Pt 2 Premium and Claims'!Q$6,-'Pt 2 Premium and Claims'!Q$7,-'Pt 2 Premium and Claims'!Q$13,'Pt 2 Premium and Claims'!Q$14)</f>
        <v>97514.14</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900455574</v>
      </c>
      <c r="AT5" s="113">
        <f>SUM('Pt 2 Premium and Claims'!AT$5,'Pt 2 Premium and Claims'!AT$6,-'Pt 2 Premium and Claims'!AT$7,-'Pt 2 Premium and Claims'!AT$13,'Pt 2 Premium and Claims'!AT$14)</f>
        <v>15612227</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-2342</v>
      </c>
      <c r="E7" s="116">
        <v>-2342</v>
      </c>
      <c r="F7" s="116"/>
      <c r="G7" s="116"/>
      <c r="H7" s="116"/>
      <c r="I7" s="115"/>
      <c r="J7" s="115"/>
      <c r="K7" s="116"/>
      <c r="L7" s="116"/>
      <c r="M7" s="116"/>
      <c r="N7" s="116"/>
      <c r="O7" s="115"/>
      <c r="P7" s="115">
        <v>-382</v>
      </c>
      <c r="Q7" s="116">
        <v>-382</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-72795</v>
      </c>
      <c r="E8" s="295"/>
      <c r="F8" s="296"/>
      <c r="G8" s="296"/>
      <c r="H8" s="296"/>
      <c r="I8" s="299"/>
      <c r="J8" s="115">
        <v>-44</v>
      </c>
      <c r="K8" s="295"/>
      <c r="L8" s="296"/>
      <c r="M8" s="296"/>
      <c r="N8" s="296"/>
      <c r="O8" s="299"/>
      <c r="P8" s="115">
        <v>-59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-3349091</v>
      </c>
      <c r="AT8" s="119">
        <v>-134607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9775414</v>
      </c>
      <c r="E12" s="112">
        <f>'Pt 2 Premium and Claims'!E$54</f>
        <v>8852020.0590000004</v>
      </c>
      <c r="F12" s="112">
        <f>'Pt 2 Premium and Claims'!F$54</f>
        <v>0</v>
      </c>
      <c r="G12" s="112">
        <f>'Pt 2 Premium and Claims'!G$54</f>
        <v>0</v>
      </c>
      <c r="H12" s="112">
        <f>'Pt 2 Premium and Claims'!H$54</f>
        <v>0</v>
      </c>
      <c r="I12" s="111">
        <f>'Pt 2 Premium and Claims'!I$54</f>
        <v>0</v>
      </c>
      <c r="J12" s="111">
        <f>'Pt 2 Premium and Claims'!J$54</f>
        <v>-66384</v>
      </c>
      <c r="K12" s="112">
        <f>'Pt 2 Premium and Claims'!K$54</f>
        <v>13989.0669</v>
      </c>
      <c r="L12" s="112">
        <f>'Pt 2 Premium and Claims'!L$54</f>
        <v>0</v>
      </c>
      <c r="M12" s="112">
        <f>'Pt 2 Premium and Claims'!M$54</f>
        <v>0</v>
      </c>
      <c r="N12" s="112">
        <f>'Pt 2 Premium and Claims'!N$54</f>
        <v>0</v>
      </c>
      <c r="O12" s="111">
        <f>'Pt 2 Premium and Claims'!O$54</f>
        <v>0</v>
      </c>
      <c r="P12" s="111">
        <f>'Pt 2 Premium and Claims'!P$54</f>
        <v>38211</v>
      </c>
      <c r="Q12" s="112">
        <f>'Pt 2 Premium and Claims'!Q$54</f>
        <v>75484.487799999988</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771393419</v>
      </c>
      <c r="AT12" s="113">
        <f>'Pt 2 Premium and Claims'!AT$54</f>
        <v>11848308</v>
      </c>
      <c r="AU12" s="113">
        <f>'Pt 2 Premium and Claims'!AU$54</f>
        <v>0</v>
      </c>
      <c r="AV12" s="318"/>
      <c r="AW12" s="323"/>
    </row>
    <row r="13" spans="1:49" ht="25.5" x14ac:dyDescent="0.2">
      <c r="B13" s="161" t="s">
        <v>230</v>
      </c>
      <c r="C13" s="68" t="s">
        <v>37</v>
      </c>
      <c r="D13" s="115">
        <v>1296765</v>
      </c>
      <c r="E13" s="116">
        <v>1295052.48</v>
      </c>
      <c r="F13" s="116"/>
      <c r="G13" s="295"/>
      <c r="H13" s="296"/>
      <c r="I13" s="115"/>
      <c r="J13" s="115">
        <v>3959</v>
      </c>
      <c r="K13" s="116">
        <v>3976.9900000000002</v>
      </c>
      <c r="L13" s="116"/>
      <c r="M13" s="295"/>
      <c r="N13" s="296"/>
      <c r="O13" s="115"/>
      <c r="P13" s="115">
        <v>4643</v>
      </c>
      <c r="Q13" s="116">
        <v>4650.3900000000003</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184595981</v>
      </c>
      <c r="AT13" s="119">
        <v>404</v>
      </c>
      <c r="AU13" s="119"/>
      <c r="AV13" s="317"/>
      <c r="AW13" s="324"/>
    </row>
    <row r="14" spans="1:49" ht="25.5" x14ac:dyDescent="0.2">
      <c r="B14" s="161" t="s">
        <v>231</v>
      </c>
      <c r="C14" s="68" t="s">
        <v>6</v>
      </c>
      <c r="D14" s="115">
        <v>90886</v>
      </c>
      <c r="E14" s="116">
        <v>87301.319999999992</v>
      </c>
      <c r="F14" s="116"/>
      <c r="G14" s="294"/>
      <c r="H14" s="297"/>
      <c r="I14" s="115"/>
      <c r="J14" s="115">
        <v>512</v>
      </c>
      <c r="K14" s="116">
        <v>514.8900000000001</v>
      </c>
      <c r="L14" s="116"/>
      <c r="M14" s="294"/>
      <c r="N14" s="297"/>
      <c r="O14" s="115"/>
      <c r="P14" s="115">
        <v>477</v>
      </c>
      <c r="Q14" s="116">
        <v>388.34</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52870977</v>
      </c>
      <c r="AT14" s="119">
        <v>18</v>
      </c>
      <c r="AU14" s="119"/>
      <c r="AV14" s="317"/>
      <c r="AW14" s="324"/>
    </row>
    <row r="15" spans="1:49" ht="38.25" x14ac:dyDescent="0.2">
      <c r="B15" s="161" t="s">
        <v>232</v>
      </c>
      <c r="C15" s="68" t="s">
        <v>7</v>
      </c>
      <c r="D15" s="115">
        <v>330</v>
      </c>
      <c r="E15" s="116">
        <v>330</v>
      </c>
      <c r="F15" s="116"/>
      <c r="G15" s="294"/>
      <c r="H15" s="300"/>
      <c r="I15" s="115"/>
      <c r="J15" s="115">
        <v>1</v>
      </c>
      <c r="K15" s="116">
        <v>1</v>
      </c>
      <c r="L15" s="116"/>
      <c r="M15" s="294"/>
      <c r="N15" s="300"/>
      <c r="O15" s="115"/>
      <c r="P15" s="115">
        <v>5</v>
      </c>
      <c r="Q15" s="116">
        <v>5</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28317</v>
      </c>
      <c r="AT15" s="119">
        <v>530</v>
      </c>
      <c r="AU15" s="119"/>
      <c r="AV15" s="317"/>
      <c r="AW15" s="324"/>
    </row>
    <row r="16" spans="1:49" ht="25.5" x14ac:dyDescent="0.2">
      <c r="B16" s="161" t="s">
        <v>233</v>
      </c>
      <c r="C16" s="68" t="s">
        <v>61</v>
      </c>
      <c r="D16" s="115">
        <v>-3214323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-653595</v>
      </c>
      <c r="AT16" s="119">
        <v>-9624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-178029</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1323</v>
      </c>
      <c r="E22" s="121">
        <f>'Pt 2 Premium and Claims'!E$55</f>
        <v>1323</v>
      </c>
      <c r="F22" s="121">
        <f>'Pt 2 Premium and Claims'!F$55</f>
        <v>0</v>
      </c>
      <c r="G22" s="121">
        <f>'Pt 2 Premium and Claims'!G$55</f>
        <v>0</v>
      </c>
      <c r="H22" s="121">
        <f>'Pt 2 Premium and Claims'!H$55</f>
        <v>0</v>
      </c>
      <c r="I22" s="120">
        <f>'Pt 2 Premium and Claims'!I$55</f>
        <v>0</v>
      </c>
      <c r="J22" s="120">
        <f>'Pt 2 Premium and Claims'!J$55</f>
        <v>11</v>
      </c>
      <c r="K22" s="121">
        <f>'Pt 2 Premium and Claims'!K$55</f>
        <v>11</v>
      </c>
      <c r="L22" s="121">
        <f>'Pt 2 Premium and Claims'!L$55</f>
        <v>0</v>
      </c>
      <c r="M22" s="121">
        <f>'Pt 2 Premium and Claims'!M$55</f>
        <v>0</v>
      </c>
      <c r="N22" s="121">
        <f>'Pt 2 Premium and Claims'!N$55</f>
        <v>0</v>
      </c>
      <c r="O22" s="120">
        <f>'Pt 2 Premium and Claims'!O$55</f>
        <v>0</v>
      </c>
      <c r="P22" s="120">
        <f>'Pt 2 Premium and Claims'!P$55</f>
        <v>86</v>
      </c>
      <c r="Q22" s="121">
        <f>'Pt 2 Premium and Claims'!Q$55</f>
        <v>86</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-740682.27159999998</v>
      </c>
      <c r="E25" s="116">
        <v>-740682.27159999998</v>
      </c>
      <c r="F25" s="116"/>
      <c r="G25" s="116"/>
      <c r="H25" s="116"/>
      <c r="I25" s="115"/>
      <c r="J25" s="115">
        <v>29068.193940000001</v>
      </c>
      <c r="K25" s="116">
        <v>29068.193940000001</v>
      </c>
      <c r="L25" s="116"/>
      <c r="M25" s="116"/>
      <c r="N25" s="116"/>
      <c r="O25" s="115"/>
      <c r="P25" s="115">
        <v>-7954.1513379999997</v>
      </c>
      <c r="Q25" s="116">
        <v>-7954.1513379999997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4441758.2949999999</v>
      </c>
      <c r="AT25" s="119">
        <v>105008.09940000001</v>
      </c>
      <c r="AU25" s="119"/>
      <c r="AV25" s="119"/>
      <c r="AW25" s="324"/>
    </row>
    <row r="26" spans="1:49" s="11" customFormat="1" x14ac:dyDescent="0.2">
      <c r="A26" s="41"/>
      <c r="B26" s="164" t="s">
        <v>243</v>
      </c>
      <c r="C26" s="68"/>
      <c r="D26" s="115"/>
      <c r="E26" s="116">
        <v>3849.68</v>
      </c>
      <c r="F26" s="116"/>
      <c r="G26" s="116"/>
      <c r="H26" s="116"/>
      <c r="I26" s="115"/>
      <c r="J26" s="115"/>
      <c r="K26" s="116">
        <v>13.059999999999999</v>
      </c>
      <c r="L26" s="116"/>
      <c r="M26" s="116"/>
      <c r="N26" s="116"/>
      <c r="O26" s="115"/>
      <c r="P26" s="115"/>
      <c r="Q26" s="116">
        <v>17.309999999999999</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78961.97</v>
      </c>
      <c r="E27" s="116">
        <v>78961.97</v>
      </c>
      <c r="F27" s="116"/>
      <c r="G27" s="116"/>
      <c r="H27" s="116"/>
      <c r="I27" s="115"/>
      <c r="J27" s="115">
        <v>445.5</v>
      </c>
      <c r="K27" s="116">
        <v>445.5</v>
      </c>
      <c r="L27" s="116"/>
      <c r="M27" s="116"/>
      <c r="N27" s="116"/>
      <c r="O27" s="115"/>
      <c r="P27" s="115">
        <v>526.39999999999986</v>
      </c>
      <c r="Q27" s="116">
        <v>526.39999999999986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11220892.68</v>
      </c>
      <c r="AT27" s="119">
        <v>88371.28</v>
      </c>
      <c r="AU27" s="119"/>
      <c r="AV27" s="320"/>
      <c r="AW27" s="324"/>
    </row>
    <row r="28" spans="1:49" s="11" customFormat="1" x14ac:dyDescent="0.2">
      <c r="A28" s="41"/>
      <c r="B28" s="164" t="s">
        <v>245</v>
      </c>
      <c r="C28" s="68"/>
      <c r="D28" s="115">
        <v>29962.07</v>
      </c>
      <c r="E28" s="116">
        <v>17607.370000000003</v>
      </c>
      <c r="F28" s="116"/>
      <c r="G28" s="116"/>
      <c r="H28" s="116"/>
      <c r="I28" s="115"/>
      <c r="J28" s="115">
        <v>376.85</v>
      </c>
      <c r="K28" s="116">
        <v>132.82</v>
      </c>
      <c r="L28" s="116"/>
      <c r="M28" s="116"/>
      <c r="N28" s="116"/>
      <c r="O28" s="115"/>
      <c r="P28" s="115">
        <v>541.30999999999995</v>
      </c>
      <c r="Q28" s="116">
        <v>1422.77</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53800.020000000004</v>
      </c>
      <c r="AT28" s="119">
        <v>2646.5099999999998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-49356.248359999998</v>
      </c>
      <c r="E30" s="116">
        <v>-47545.398359999999</v>
      </c>
      <c r="F30" s="116"/>
      <c r="G30" s="116"/>
      <c r="H30" s="116"/>
      <c r="I30" s="115"/>
      <c r="J30" s="115">
        <v>2016.3647909999997</v>
      </c>
      <c r="K30" s="116">
        <v>2029.8947909999999</v>
      </c>
      <c r="L30" s="116"/>
      <c r="M30" s="116"/>
      <c r="N30" s="116"/>
      <c r="O30" s="115"/>
      <c r="P30" s="115">
        <v>-436.26631320000001</v>
      </c>
      <c r="Q30" s="116">
        <v>-290.79631319999999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449027.96989999991</v>
      </c>
      <c r="AT30" s="119">
        <v>11606.723800000003</v>
      </c>
      <c r="AU30" s="119"/>
      <c r="AV30" s="119"/>
      <c r="AW30" s="324"/>
    </row>
    <row r="31" spans="1:49" x14ac:dyDescent="0.2">
      <c r="B31" s="164" t="s">
        <v>248</v>
      </c>
      <c r="C31" s="68"/>
      <c r="D31" s="115">
        <v>150074.15</v>
      </c>
      <c r="E31" s="116">
        <v>138210.16999999998</v>
      </c>
      <c r="F31" s="116"/>
      <c r="G31" s="116"/>
      <c r="H31" s="116"/>
      <c r="I31" s="115"/>
      <c r="J31" s="115">
        <v>1171.5</v>
      </c>
      <c r="K31" s="116">
        <v>1171.5</v>
      </c>
      <c r="L31" s="116"/>
      <c r="M31" s="116"/>
      <c r="N31" s="116"/>
      <c r="O31" s="115"/>
      <c r="P31" s="115">
        <v>2872.58</v>
      </c>
      <c r="Q31" s="116">
        <v>2872.58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350774.25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95336.68</v>
      </c>
      <c r="F34" s="116"/>
      <c r="G34" s="116"/>
      <c r="H34" s="116"/>
      <c r="I34" s="115"/>
      <c r="J34" s="115"/>
      <c r="K34" s="116">
        <v>355.34000000000003</v>
      </c>
      <c r="L34" s="116"/>
      <c r="M34" s="116"/>
      <c r="N34" s="116"/>
      <c r="O34" s="115"/>
      <c r="P34" s="115"/>
      <c r="Q34" s="116">
        <v>481.32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4993.1500000000005</v>
      </c>
      <c r="E35" s="116">
        <v>6417.2300000000005</v>
      </c>
      <c r="F35" s="116"/>
      <c r="G35" s="116"/>
      <c r="H35" s="116"/>
      <c r="I35" s="115"/>
      <c r="J35" s="115">
        <v>36.160000000000004</v>
      </c>
      <c r="K35" s="116">
        <v>40.720000000000006</v>
      </c>
      <c r="L35" s="116"/>
      <c r="M35" s="116"/>
      <c r="N35" s="116"/>
      <c r="O35" s="115"/>
      <c r="P35" s="115">
        <v>387.3</v>
      </c>
      <c r="Q35" s="116">
        <v>387.3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503149.2900000001</v>
      </c>
      <c r="AT35" s="119">
        <v>14508.219999999998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30775</v>
      </c>
      <c r="E37" s="124">
        <v>30775.269999999997</v>
      </c>
      <c r="F37" s="124"/>
      <c r="G37" s="124"/>
      <c r="H37" s="124"/>
      <c r="I37" s="123"/>
      <c r="J37" s="123">
        <v>65</v>
      </c>
      <c r="K37" s="124">
        <v>64.67</v>
      </c>
      <c r="L37" s="124"/>
      <c r="M37" s="124"/>
      <c r="N37" s="124"/>
      <c r="O37" s="123"/>
      <c r="P37" s="123">
        <v>113</v>
      </c>
      <c r="Q37" s="124">
        <v>113.16000000000001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6445471</v>
      </c>
      <c r="AT37" s="125">
        <v>762</v>
      </c>
      <c r="AU37" s="125"/>
      <c r="AV37" s="125"/>
      <c r="AW37" s="323"/>
    </row>
    <row r="38" spans="1:49" x14ac:dyDescent="0.2">
      <c r="B38" s="161" t="s">
        <v>255</v>
      </c>
      <c r="C38" s="68" t="s">
        <v>16</v>
      </c>
      <c r="D38" s="115">
        <v>3449</v>
      </c>
      <c r="E38" s="116">
        <v>3448.75</v>
      </c>
      <c r="F38" s="116"/>
      <c r="G38" s="116"/>
      <c r="H38" s="116"/>
      <c r="I38" s="115"/>
      <c r="J38" s="115">
        <v>37</v>
      </c>
      <c r="K38" s="116">
        <v>37.32</v>
      </c>
      <c r="L38" s="116"/>
      <c r="M38" s="116"/>
      <c r="N38" s="116"/>
      <c r="O38" s="115"/>
      <c r="P38" s="115">
        <v>51</v>
      </c>
      <c r="Q38" s="116">
        <v>50.76</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2398663</v>
      </c>
      <c r="AT38" s="119">
        <v>14</v>
      </c>
      <c r="AU38" s="119"/>
      <c r="AV38" s="119"/>
      <c r="AW38" s="324"/>
    </row>
    <row r="39" spans="1:49" x14ac:dyDescent="0.2">
      <c r="B39" s="164" t="s">
        <v>256</v>
      </c>
      <c r="C39" s="68" t="s">
        <v>17</v>
      </c>
      <c r="D39" s="115">
        <v>5863</v>
      </c>
      <c r="E39" s="116">
        <v>5862.5700000000006</v>
      </c>
      <c r="F39" s="116"/>
      <c r="G39" s="116"/>
      <c r="H39" s="116"/>
      <c r="I39" s="115"/>
      <c r="J39" s="115">
        <v>791</v>
      </c>
      <c r="K39" s="116">
        <v>791.31999999999994</v>
      </c>
      <c r="L39" s="116"/>
      <c r="M39" s="116"/>
      <c r="N39" s="116"/>
      <c r="O39" s="115"/>
      <c r="P39" s="115">
        <v>40</v>
      </c>
      <c r="Q39" s="116">
        <v>40.21</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1763271</v>
      </c>
      <c r="AT39" s="119">
        <v>4300</v>
      </c>
      <c r="AU39" s="119"/>
      <c r="AV39" s="119"/>
      <c r="AW39" s="324"/>
    </row>
    <row r="40" spans="1:49" x14ac:dyDescent="0.2">
      <c r="B40" s="164" t="s">
        <v>257</v>
      </c>
      <c r="C40" s="68" t="s">
        <v>38</v>
      </c>
      <c r="D40" s="115">
        <v>1685</v>
      </c>
      <c r="E40" s="116">
        <v>1684.53</v>
      </c>
      <c r="F40" s="116"/>
      <c r="G40" s="116"/>
      <c r="H40" s="116"/>
      <c r="I40" s="115"/>
      <c r="J40" s="115">
        <v>308</v>
      </c>
      <c r="K40" s="116">
        <v>307.84000000000003</v>
      </c>
      <c r="L40" s="116"/>
      <c r="M40" s="116"/>
      <c r="N40" s="116"/>
      <c r="O40" s="115"/>
      <c r="P40" s="115">
        <v>56</v>
      </c>
      <c r="Q40" s="116">
        <v>55.559999999999995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4530190</v>
      </c>
      <c r="AT40" s="119">
        <v>80442</v>
      </c>
      <c r="AU40" s="119"/>
      <c r="AV40" s="119"/>
      <c r="AW40" s="324"/>
    </row>
    <row r="41" spans="1:49" s="11" customFormat="1" ht="25.5" x14ac:dyDescent="0.2">
      <c r="A41" s="41"/>
      <c r="B41" s="164" t="s">
        <v>258</v>
      </c>
      <c r="C41" s="68" t="s">
        <v>129</v>
      </c>
      <c r="D41" s="115">
        <v>5434</v>
      </c>
      <c r="E41" s="116">
        <v>5433.68</v>
      </c>
      <c r="F41" s="116"/>
      <c r="G41" s="116"/>
      <c r="H41" s="116"/>
      <c r="I41" s="115"/>
      <c r="J41" s="115">
        <v>12</v>
      </c>
      <c r="K41" s="116">
        <v>11.670000000000002</v>
      </c>
      <c r="L41" s="116"/>
      <c r="M41" s="116"/>
      <c r="N41" s="116"/>
      <c r="O41" s="115"/>
      <c r="P41" s="115">
        <v>21</v>
      </c>
      <c r="Q41" s="116">
        <v>21.26</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2317521</v>
      </c>
      <c r="AT41" s="119">
        <v>23596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121183</v>
      </c>
      <c r="E44" s="124">
        <v>121183</v>
      </c>
      <c r="F44" s="124"/>
      <c r="G44" s="124"/>
      <c r="H44" s="124"/>
      <c r="I44" s="123"/>
      <c r="J44" s="123">
        <v>516</v>
      </c>
      <c r="K44" s="124">
        <v>516</v>
      </c>
      <c r="L44" s="124"/>
      <c r="M44" s="124"/>
      <c r="N44" s="124"/>
      <c r="O44" s="123"/>
      <c r="P44" s="123">
        <v>833</v>
      </c>
      <c r="Q44" s="124">
        <v>833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10958774</v>
      </c>
      <c r="AT44" s="125">
        <v>124074</v>
      </c>
      <c r="AU44" s="125"/>
      <c r="AV44" s="125"/>
      <c r="AW44" s="323"/>
    </row>
    <row r="45" spans="1:49" x14ac:dyDescent="0.2">
      <c r="B45" s="167" t="s">
        <v>262</v>
      </c>
      <c r="C45" s="68" t="s">
        <v>19</v>
      </c>
      <c r="D45" s="115">
        <v>76391</v>
      </c>
      <c r="E45" s="116">
        <v>76391</v>
      </c>
      <c r="F45" s="116"/>
      <c r="G45" s="116"/>
      <c r="H45" s="116"/>
      <c r="I45" s="115"/>
      <c r="J45" s="115">
        <v>-99</v>
      </c>
      <c r="K45" s="116">
        <v>-99</v>
      </c>
      <c r="L45" s="116"/>
      <c r="M45" s="116"/>
      <c r="N45" s="116"/>
      <c r="O45" s="115"/>
      <c r="P45" s="115">
        <v>423</v>
      </c>
      <c r="Q45" s="116">
        <v>423</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9963862</v>
      </c>
      <c r="AT45" s="119">
        <v>184353</v>
      </c>
      <c r="AU45" s="119"/>
      <c r="AV45" s="119"/>
      <c r="AW45" s="324"/>
    </row>
    <row r="46" spans="1:49" x14ac:dyDescent="0.2">
      <c r="B46" s="167" t="s">
        <v>263</v>
      </c>
      <c r="C46" s="68" t="s">
        <v>20</v>
      </c>
      <c r="D46" s="115">
        <v>74012</v>
      </c>
      <c r="E46" s="116">
        <v>74012</v>
      </c>
      <c r="F46" s="116"/>
      <c r="G46" s="116"/>
      <c r="H46" s="116"/>
      <c r="I46" s="115"/>
      <c r="J46" s="115">
        <v>1250</v>
      </c>
      <c r="K46" s="116">
        <v>1250</v>
      </c>
      <c r="L46" s="116"/>
      <c r="M46" s="116"/>
      <c r="N46" s="116"/>
      <c r="O46" s="115"/>
      <c r="P46" s="115">
        <v>5207</v>
      </c>
      <c r="Q46" s="116">
        <v>5207</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10335047</v>
      </c>
      <c r="AT46" s="119">
        <v>160809</v>
      </c>
      <c r="AU46" s="119"/>
      <c r="AV46" s="119"/>
      <c r="AW46" s="324"/>
    </row>
    <row r="47" spans="1:49" x14ac:dyDescent="0.2">
      <c r="B47" s="167" t="s">
        <v>264</v>
      </c>
      <c r="C47" s="68" t="s">
        <v>21</v>
      </c>
      <c r="D47" s="115">
        <v>476529</v>
      </c>
      <c r="E47" s="116">
        <v>476529</v>
      </c>
      <c r="F47" s="116"/>
      <c r="G47" s="116"/>
      <c r="H47" s="116"/>
      <c r="I47" s="115"/>
      <c r="J47" s="115">
        <v>8034.0000000000009</v>
      </c>
      <c r="K47" s="116">
        <v>8034.0000000000009</v>
      </c>
      <c r="L47" s="116"/>
      <c r="M47" s="116"/>
      <c r="N47" s="116"/>
      <c r="O47" s="115"/>
      <c r="P47" s="115">
        <v>1040</v>
      </c>
      <c r="Q47" s="116">
        <v>1040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12547106</v>
      </c>
      <c r="AT47" s="119">
        <v>979617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143180.62836</v>
      </c>
      <c r="E49" s="116">
        <v>124297.73835999999</v>
      </c>
      <c r="F49" s="116"/>
      <c r="G49" s="116"/>
      <c r="H49" s="116"/>
      <c r="I49" s="115"/>
      <c r="J49" s="115">
        <v>-1853.284791</v>
      </c>
      <c r="K49" s="116">
        <v>-1995.7447910000001</v>
      </c>
      <c r="L49" s="116"/>
      <c r="M49" s="116"/>
      <c r="N49" s="116"/>
      <c r="O49" s="115"/>
      <c r="P49" s="115">
        <v>33098.6863132</v>
      </c>
      <c r="Q49" s="116">
        <v>31573.126313199999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2232047.6800999995</v>
      </c>
      <c r="AT49" s="119">
        <v>62535.466199999988</v>
      </c>
      <c r="AU49" s="119"/>
      <c r="AV49" s="119"/>
      <c r="AW49" s="324"/>
    </row>
    <row r="50" spans="2:49" ht="25.5" x14ac:dyDescent="0.2">
      <c r="B50" s="161" t="s">
        <v>266</v>
      </c>
      <c r="C50" s="68"/>
      <c r="D50" s="115">
        <v>254.85000000000002</v>
      </c>
      <c r="E50" s="116">
        <v>254.85000000000002</v>
      </c>
      <c r="F50" s="116"/>
      <c r="G50" s="116"/>
      <c r="H50" s="116"/>
      <c r="I50" s="115"/>
      <c r="J50" s="115">
        <v>1.6400000000000001</v>
      </c>
      <c r="K50" s="116">
        <v>1.6400000000000001</v>
      </c>
      <c r="L50" s="116"/>
      <c r="M50" s="116"/>
      <c r="N50" s="116"/>
      <c r="O50" s="115"/>
      <c r="P50" s="115">
        <v>17.080000000000002</v>
      </c>
      <c r="Q50" s="116">
        <v>17.080000000000002</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31543.360000000004</v>
      </c>
      <c r="AT50" s="119">
        <v>749.26</v>
      </c>
      <c r="AU50" s="119"/>
      <c r="AV50" s="119"/>
      <c r="AW50" s="324"/>
    </row>
    <row r="51" spans="2:49" x14ac:dyDescent="0.2">
      <c r="B51" s="161" t="s">
        <v>267</v>
      </c>
      <c r="C51" s="68"/>
      <c r="D51" s="115">
        <v>573213</v>
      </c>
      <c r="E51" s="116">
        <v>573213</v>
      </c>
      <c r="F51" s="116"/>
      <c r="G51" s="116"/>
      <c r="H51" s="116"/>
      <c r="I51" s="115"/>
      <c r="J51" s="115">
        <v>3070</v>
      </c>
      <c r="K51" s="116">
        <v>3070</v>
      </c>
      <c r="L51" s="116"/>
      <c r="M51" s="116"/>
      <c r="N51" s="116"/>
      <c r="O51" s="115"/>
      <c r="P51" s="115">
        <v>71625</v>
      </c>
      <c r="Q51" s="116">
        <v>71625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48857510</v>
      </c>
      <c r="AT51" s="119">
        <v>1491542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1605</v>
      </c>
      <c r="E56" s="128">
        <v>1513</v>
      </c>
      <c r="F56" s="128"/>
      <c r="G56" s="128"/>
      <c r="H56" s="128"/>
      <c r="I56" s="127"/>
      <c r="J56" s="127">
        <v>2</v>
      </c>
      <c r="K56" s="128">
        <v>6</v>
      </c>
      <c r="L56" s="128"/>
      <c r="M56" s="128"/>
      <c r="N56" s="128"/>
      <c r="O56" s="127"/>
      <c r="P56" s="127">
        <v>11</v>
      </c>
      <c r="Q56" s="128">
        <v>10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157632</v>
      </c>
      <c r="AT56" s="129">
        <v>19278</v>
      </c>
      <c r="AU56" s="129"/>
      <c r="AV56" s="129"/>
      <c r="AW56" s="315"/>
    </row>
    <row r="57" spans="2:49" x14ac:dyDescent="0.2">
      <c r="B57" s="167" t="s">
        <v>273</v>
      </c>
      <c r="C57" s="68" t="s">
        <v>25</v>
      </c>
      <c r="D57" s="130">
        <v>2392</v>
      </c>
      <c r="E57" s="131">
        <v>2339</v>
      </c>
      <c r="F57" s="131"/>
      <c r="G57" s="131"/>
      <c r="H57" s="131"/>
      <c r="I57" s="130"/>
      <c r="J57" s="130">
        <v>6</v>
      </c>
      <c r="K57" s="131">
        <v>6</v>
      </c>
      <c r="L57" s="131"/>
      <c r="M57" s="131"/>
      <c r="N57" s="131"/>
      <c r="O57" s="130"/>
      <c r="P57" s="130">
        <v>11</v>
      </c>
      <c r="Q57" s="131">
        <v>11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182470</v>
      </c>
      <c r="AT57" s="132">
        <v>37008</v>
      </c>
      <c r="AU57" s="132"/>
      <c r="AV57" s="132"/>
      <c r="AW57" s="316"/>
    </row>
    <row r="58" spans="2:49" x14ac:dyDescent="0.2">
      <c r="B58" s="167" t="s">
        <v>274</v>
      </c>
      <c r="C58" s="68" t="s">
        <v>26</v>
      </c>
      <c r="D58" s="336"/>
      <c r="E58" s="337"/>
      <c r="F58" s="337"/>
      <c r="G58" s="337"/>
      <c r="H58" s="337"/>
      <c r="I58" s="336"/>
      <c r="J58" s="130">
        <v>3</v>
      </c>
      <c r="K58" s="131">
        <v>3</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13</v>
      </c>
      <c r="AT58" s="132">
        <v>72</v>
      </c>
      <c r="AU58" s="132"/>
      <c r="AV58" s="132"/>
      <c r="AW58" s="316"/>
    </row>
    <row r="59" spans="2:49" x14ac:dyDescent="0.2">
      <c r="B59" s="167" t="s">
        <v>275</v>
      </c>
      <c r="C59" s="68" t="s">
        <v>27</v>
      </c>
      <c r="D59" s="130">
        <v>22186</v>
      </c>
      <c r="E59" s="131">
        <v>22045</v>
      </c>
      <c r="F59" s="131"/>
      <c r="G59" s="131"/>
      <c r="H59" s="131"/>
      <c r="I59" s="130"/>
      <c r="J59" s="130">
        <v>73</v>
      </c>
      <c r="K59" s="131">
        <v>75</v>
      </c>
      <c r="L59" s="131"/>
      <c r="M59" s="131"/>
      <c r="N59" s="131"/>
      <c r="O59" s="130"/>
      <c r="P59" s="130">
        <v>97</v>
      </c>
      <c r="Q59" s="131">
        <v>97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2195263</v>
      </c>
      <c r="AT59" s="132">
        <v>442286</v>
      </c>
      <c r="AU59" s="132"/>
      <c r="AV59" s="132"/>
      <c r="AW59" s="316"/>
    </row>
    <row r="60" spans="2:49" x14ac:dyDescent="0.2">
      <c r="B60" s="167" t="s">
        <v>276</v>
      </c>
      <c r="C60" s="68"/>
      <c r="D60" s="133">
        <f>D$59/12</f>
        <v>1848.8333333333333</v>
      </c>
      <c r="E60" s="134">
        <f>E$59/12</f>
        <v>1837.0833333333333</v>
      </c>
      <c r="F60" s="134">
        <f>F$59/12</f>
        <v>0</v>
      </c>
      <c r="G60" s="134">
        <f>G$59/12</f>
        <v>0</v>
      </c>
      <c r="H60" s="134">
        <f>H$59/12</f>
        <v>0</v>
      </c>
      <c r="I60" s="133">
        <f>I$59/12</f>
        <v>0</v>
      </c>
      <c r="J60" s="133">
        <f>J$59/12</f>
        <v>6.083333333333333</v>
      </c>
      <c r="K60" s="134">
        <f>K$59/12</f>
        <v>6.25</v>
      </c>
      <c r="L60" s="134">
        <f>L$59/12</f>
        <v>0</v>
      </c>
      <c r="M60" s="134">
        <f>M$59/12</f>
        <v>0</v>
      </c>
      <c r="N60" s="134">
        <f>N$59/12</f>
        <v>0</v>
      </c>
      <c r="O60" s="133">
        <f>O$59/12</f>
        <v>0</v>
      </c>
      <c r="P60" s="133">
        <f>P$59/12</f>
        <v>8.0833333333333339</v>
      </c>
      <c r="Q60" s="134">
        <f>Q$59/12</f>
        <v>8.0833333333333339</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182938.58333333334</v>
      </c>
      <c r="AT60" s="135">
        <f>AT$59/12</f>
        <v>36857.166666666664</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6357064</v>
      </c>
      <c r="E5" s="124">
        <v>6157572.2299999995</v>
      </c>
      <c r="F5" s="124"/>
      <c r="G5" s="136"/>
      <c r="H5" s="136"/>
      <c r="I5" s="123"/>
      <c r="J5" s="123">
        <v>51958</v>
      </c>
      <c r="K5" s="124">
        <v>55143.009999999995</v>
      </c>
      <c r="L5" s="124"/>
      <c r="M5" s="124"/>
      <c r="N5" s="124"/>
      <c r="O5" s="123"/>
      <c r="P5" s="123">
        <v>97552</v>
      </c>
      <c r="Q5" s="124">
        <v>97514.14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900455574</v>
      </c>
      <c r="AT5" s="125">
        <v>15611000</v>
      </c>
      <c r="AU5" s="125"/>
      <c r="AV5" s="318"/>
      <c r="AW5" s="323"/>
    </row>
    <row r="6" spans="2:49" x14ac:dyDescent="0.2">
      <c r="B6" s="182" t="s">
        <v>279</v>
      </c>
      <c r="C6" s="139" t="s">
        <v>8</v>
      </c>
      <c r="D6" s="115">
        <v>12891</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21906</v>
      </c>
      <c r="AU6" s="119"/>
      <c r="AV6" s="317"/>
      <c r="AW6" s="324"/>
    </row>
    <row r="7" spans="2:49" x14ac:dyDescent="0.2">
      <c r="B7" s="182" t="s">
        <v>280</v>
      </c>
      <c r="C7" s="139" t="s">
        <v>9</v>
      </c>
      <c r="D7" s="115">
        <v>12839</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20679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-19383571</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-15352225</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2610901.3099999996</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178764.83</v>
      </c>
      <c r="F16" s="116"/>
      <c r="G16" s="116"/>
      <c r="H16" s="116"/>
      <c r="I16" s="115"/>
      <c r="J16" s="115"/>
      <c r="K16" s="116">
        <v>-11304.8</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84250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-37243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8674209</v>
      </c>
      <c r="E23" s="294"/>
      <c r="F23" s="294"/>
      <c r="G23" s="294"/>
      <c r="H23" s="294"/>
      <c r="I23" s="298"/>
      <c r="J23" s="115">
        <v>14051</v>
      </c>
      <c r="K23" s="294"/>
      <c r="L23" s="294"/>
      <c r="M23" s="294"/>
      <c r="N23" s="294"/>
      <c r="O23" s="298"/>
      <c r="P23" s="115">
        <v>32717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776655874</v>
      </c>
      <c r="AT23" s="119">
        <v>10565198</v>
      </c>
      <c r="AU23" s="119"/>
      <c r="AV23" s="317"/>
      <c r="AW23" s="324"/>
    </row>
    <row r="24" spans="2:49" ht="28.5" customHeight="1" x14ac:dyDescent="0.2">
      <c r="B24" s="184" t="s">
        <v>114</v>
      </c>
      <c r="C24" s="139"/>
      <c r="D24" s="299"/>
      <c r="E24" s="116">
        <v>9423998.290000001</v>
      </c>
      <c r="F24" s="116"/>
      <c r="G24" s="116"/>
      <c r="H24" s="116"/>
      <c r="I24" s="115"/>
      <c r="J24" s="299"/>
      <c r="K24" s="116">
        <v>14347.4</v>
      </c>
      <c r="L24" s="116"/>
      <c r="M24" s="116"/>
      <c r="N24" s="116"/>
      <c r="O24" s="115"/>
      <c r="P24" s="299"/>
      <c r="Q24" s="116">
        <v>31783.869999999995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2187020</v>
      </c>
      <c r="E26" s="294"/>
      <c r="F26" s="294"/>
      <c r="G26" s="294"/>
      <c r="H26" s="294"/>
      <c r="I26" s="298"/>
      <c r="J26" s="115">
        <v>748</v>
      </c>
      <c r="K26" s="294"/>
      <c r="L26" s="294"/>
      <c r="M26" s="294"/>
      <c r="N26" s="294"/>
      <c r="O26" s="298"/>
      <c r="P26" s="115">
        <v>6772</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71845220</v>
      </c>
      <c r="AT26" s="119">
        <v>2149224</v>
      </c>
      <c r="AU26" s="119"/>
      <c r="AV26" s="317"/>
      <c r="AW26" s="324"/>
    </row>
    <row r="27" spans="2:49" s="11" customFormat="1" ht="25.5" x14ac:dyDescent="0.2">
      <c r="B27" s="184" t="s">
        <v>85</v>
      </c>
      <c r="C27" s="139"/>
      <c r="D27" s="299"/>
      <c r="E27" s="116">
        <v>191977.08900000021</v>
      </c>
      <c r="F27" s="116"/>
      <c r="G27" s="116"/>
      <c r="H27" s="116"/>
      <c r="I27" s="115"/>
      <c r="J27" s="299"/>
      <c r="K27" s="116">
        <v>109.5369</v>
      </c>
      <c r="L27" s="116"/>
      <c r="M27" s="116"/>
      <c r="N27" s="116"/>
      <c r="O27" s="115"/>
      <c r="P27" s="299"/>
      <c r="Q27" s="116">
        <v>559.377799999996</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391407</v>
      </c>
      <c r="E28" s="295"/>
      <c r="F28" s="295"/>
      <c r="G28" s="295"/>
      <c r="H28" s="295"/>
      <c r="I28" s="299"/>
      <c r="J28" s="115">
        <v>80644</v>
      </c>
      <c r="K28" s="295"/>
      <c r="L28" s="295"/>
      <c r="M28" s="295"/>
      <c r="N28" s="295"/>
      <c r="O28" s="299"/>
      <c r="P28" s="115">
        <v>1606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69665390</v>
      </c>
      <c r="AT28" s="119">
        <v>790553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47</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503202</v>
      </c>
      <c r="AU30" s="119"/>
      <c r="AV30" s="317"/>
      <c r="AW30" s="324"/>
    </row>
    <row r="31" spans="2:49" s="11" customFormat="1" ht="25.5" x14ac:dyDescent="0.2">
      <c r="B31" s="184" t="s">
        <v>84</v>
      </c>
      <c r="C31" s="139"/>
      <c r="D31" s="299"/>
      <c r="E31" s="116"/>
      <c r="F31" s="116"/>
      <c r="G31" s="116"/>
      <c r="H31" s="116"/>
      <c r="I31" s="115"/>
      <c r="J31" s="299"/>
      <c r="K31" s="116">
        <v>47.02</v>
      </c>
      <c r="L31" s="116"/>
      <c r="M31" s="116"/>
      <c r="N31" s="116"/>
      <c r="O31" s="115"/>
      <c r="P31" s="299"/>
      <c r="Q31" s="116">
        <v>-36.42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578897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36739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36739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713393</v>
      </c>
      <c r="E36" s="116">
        <v>713393</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452990</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-19383571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-15352225</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23428</v>
      </c>
      <c r="E49" s="116">
        <v>87301.319999999992</v>
      </c>
      <c r="F49" s="116"/>
      <c r="G49" s="116"/>
      <c r="H49" s="116"/>
      <c r="I49" s="115"/>
      <c r="J49" s="115">
        <v>598</v>
      </c>
      <c r="K49" s="116">
        <v>514.8900000000001</v>
      </c>
      <c r="L49" s="116"/>
      <c r="M49" s="116"/>
      <c r="N49" s="116"/>
      <c r="O49" s="115"/>
      <c r="P49" s="115">
        <v>9</v>
      </c>
      <c r="Q49" s="116">
        <v>388.34</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13175878</v>
      </c>
      <c r="AT49" s="119">
        <v>6</v>
      </c>
      <c r="AU49" s="119"/>
      <c r="AV49" s="317"/>
      <c r="AW49" s="324"/>
    </row>
    <row r="50" spans="2:49" x14ac:dyDescent="0.2">
      <c r="B50" s="182" t="s">
        <v>119</v>
      </c>
      <c r="C50" s="139" t="s">
        <v>34</v>
      </c>
      <c r="D50" s="115">
        <v>5674</v>
      </c>
      <c r="E50" s="295"/>
      <c r="F50" s="295"/>
      <c r="G50" s="295"/>
      <c r="H50" s="295"/>
      <c r="I50" s="299"/>
      <c r="J50" s="115">
        <v>12</v>
      </c>
      <c r="K50" s="295"/>
      <c r="L50" s="295"/>
      <c r="M50" s="295"/>
      <c r="N50" s="295"/>
      <c r="O50" s="299"/>
      <c r="P50" s="115">
        <v>337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9311949</v>
      </c>
      <c r="AT50" s="119">
        <v>140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0</v>
      </c>
      <c r="L53" s="116"/>
      <c r="M53" s="116"/>
      <c r="N53" s="116"/>
      <c r="O53" s="115"/>
      <c r="P53" s="115"/>
      <c r="Q53" s="116">
        <v>43566</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9775414</v>
      </c>
      <c r="E54" s="121">
        <f>E24+E27+E31+E35-E36+E39+E42+E45+E46-E49+E51+E52+E53</f>
        <v>8852020.0590000004</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-66384</v>
      </c>
      <c r="K54" s="121">
        <f>K24+K27+K31+K35-K36+K39+K42+K45+K46-K49+K51+K52+K53</f>
        <v>13989.0669</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38211</v>
      </c>
      <c r="Q54" s="121">
        <f>Q24+Q27+Q31+Q35-Q36+Q39+Q42+Q45+Q46-Q49+Q51+Q52+Q53</f>
        <v>75484.487799999988</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771393419</v>
      </c>
      <c r="AT54" s="122">
        <f>AT23+AT26-AT28+AT30-AT32+AT34-AT36+AT38+AT41-AT43+AT45+AT46-AT47-AT49+AT50+AT51+AT52+AT53</f>
        <v>11848308</v>
      </c>
      <c r="AU54" s="122">
        <f>AU23+AU26-AU28+AU30-AU32+AU34-AU36+AU38+AU41-AU43+AU45+AU46-AU47-AU49+AU50+AU51+AU52+AU53</f>
        <v>0</v>
      </c>
      <c r="AV54" s="317"/>
      <c r="AW54" s="324"/>
    </row>
    <row r="55" spans="2:49" ht="25.5" x14ac:dyDescent="0.2">
      <c r="B55" s="187" t="s">
        <v>304</v>
      </c>
      <c r="C55" s="143" t="s">
        <v>28</v>
      </c>
      <c r="D55" s="120">
        <f>MIN(MAX(0,D56),MAX(0,D57))</f>
        <v>1323</v>
      </c>
      <c r="E55" s="121">
        <f>MIN(MAX(0,E56),MAX(0,E57))</f>
        <v>1323</v>
      </c>
      <c r="F55" s="121">
        <f>MIN(MAX(0,F56),MAX(0,F57))</f>
        <v>0</v>
      </c>
      <c r="G55" s="121">
        <f>MIN(MAX(0,G56),MAX(0,G57))</f>
        <v>0</v>
      </c>
      <c r="H55" s="121">
        <f>MIN(MAX(0,H56),MAX(0,H57))</f>
        <v>0</v>
      </c>
      <c r="I55" s="120">
        <f>MIN(MAX(0,I56),MAX(0,I57))</f>
        <v>0</v>
      </c>
      <c r="J55" s="120">
        <f>MIN(MAX(0,J56),MAX(0,J57))</f>
        <v>11</v>
      </c>
      <c r="K55" s="121">
        <f>MIN(MAX(0,K56),MAX(0,K57))</f>
        <v>11</v>
      </c>
      <c r="L55" s="121">
        <f>MIN(MAX(0,L56),MAX(0,L57))</f>
        <v>0</v>
      </c>
      <c r="M55" s="121">
        <f>MIN(MAX(0,M56),MAX(0,M57))</f>
        <v>0</v>
      </c>
      <c r="N55" s="121">
        <f>MIN(MAX(0,N56),MAX(0,N57))</f>
        <v>0</v>
      </c>
      <c r="O55" s="120">
        <f>MIN(MAX(0,O56),MAX(0,O57))</f>
        <v>0</v>
      </c>
      <c r="P55" s="120">
        <f>MIN(MAX(0,P56),MAX(0,P57))</f>
        <v>86</v>
      </c>
      <c r="Q55" s="121">
        <f>MIN(MAX(0,Q56),MAX(0,Q57))</f>
        <v>86</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7764</v>
      </c>
      <c r="E56" s="116">
        <v>7764</v>
      </c>
      <c r="F56" s="116"/>
      <c r="G56" s="116"/>
      <c r="H56" s="116"/>
      <c r="I56" s="115"/>
      <c r="J56" s="115">
        <v>11</v>
      </c>
      <c r="K56" s="116">
        <v>11</v>
      </c>
      <c r="L56" s="116"/>
      <c r="M56" s="116"/>
      <c r="N56" s="116"/>
      <c r="O56" s="115"/>
      <c r="P56" s="115">
        <v>86</v>
      </c>
      <c r="Q56" s="116">
        <v>86</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1323</v>
      </c>
      <c r="E57" s="116">
        <v>1323</v>
      </c>
      <c r="F57" s="116"/>
      <c r="G57" s="116"/>
      <c r="H57" s="116"/>
      <c r="I57" s="115"/>
      <c r="J57" s="115">
        <v>26</v>
      </c>
      <c r="K57" s="116">
        <v>26</v>
      </c>
      <c r="L57" s="116"/>
      <c r="M57" s="116"/>
      <c r="N57" s="116"/>
      <c r="O57" s="115"/>
      <c r="P57" s="115">
        <v>195</v>
      </c>
      <c r="Q57" s="116">
        <v>195</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12537761</v>
      </c>
      <c r="AT57" s="119">
        <v>423</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3211995.9800000004</v>
      </c>
      <c r="D5" s="124">
        <v>3546350.9660000005</v>
      </c>
      <c r="E5" s="352"/>
      <c r="F5" s="352"/>
      <c r="G5" s="318"/>
      <c r="H5" s="123">
        <v>202997.62</v>
      </c>
      <c r="I5" s="124">
        <v>90017.604099999997</v>
      </c>
      <c r="J5" s="352"/>
      <c r="K5" s="352"/>
      <c r="L5" s="318"/>
      <c r="M5" s="123">
        <v>53789.590000000004</v>
      </c>
      <c r="N5" s="124">
        <v>53545.922600000005</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3210905.41</v>
      </c>
      <c r="D6" s="116">
        <v>3469370.5784999998</v>
      </c>
      <c r="E6" s="121">
        <f>SUM('Pt 1 Summary of Data'!E$12,'Pt 1 Summary of Data'!E$22)+SUM('Pt 1 Summary of Data'!G$12,'Pt 1 Summary of Data'!G$22)-SUM('Pt 1 Summary of Data'!H$12,'Pt 1 Summary of Data'!H$22)</f>
        <v>8853343.0590000004</v>
      </c>
      <c r="F6" s="121">
        <f>SUM(C6:E6)</f>
        <v>15533619.047499999</v>
      </c>
      <c r="G6" s="122">
        <f>SUM('Pt 1 Summary of Data'!I$12,'Pt 1 Summary of Data'!I$22)</f>
        <v>0</v>
      </c>
      <c r="H6" s="115">
        <v>202842.32</v>
      </c>
      <c r="I6" s="116">
        <v>89099.976899999994</v>
      </c>
      <c r="J6" s="121">
        <f>SUM('Pt 1 Summary of Data'!K$12,'Pt 1 Summary of Data'!K$22)+SUM('Pt 1 Summary of Data'!M$12,'Pt 1 Summary of Data'!M$22)-SUM('Pt 1 Summary of Data'!N$12,'Pt 1 Summary of Data'!N$22)</f>
        <v>14000.0669</v>
      </c>
      <c r="K6" s="121">
        <f>SUM(H6:J6)</f>
        <v>305942.36379999999</v>
      </c>
      <c r="L6" s="122">
        <f>SUM('Pt 1 Summary of Data'!O$12,'Pt 1 Summary of Data'!O$22)</f>
        <v>0</v>
      </c>
      <c r="M6" s="115">
        <v>103391.70000000007</v>
      </c>
      <c r="N6" s="116">
        <v>53265.1898</v>
      </c>
      <c r="O6" s="121">
        <f>SUM('Pt 1 Summary of Data'!Q$12,'Pt 1 Summary of Data'!Q$22)+SUM('Pt 1 Summary of Data'!S$12,'Pt 1 Summary of Data'!S$22)-SUM('Pt 1 Summary of Data'!T$12,'Pt 1 Summary of Data'!T$22)</f>
        <v>75570.487799999988</v>
      </c>
      <c r="P6" s="121">
        <f>SUM(M6:O6)</f>
        <v>232227.37760000007</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12059.500000000002</v>
      </c>
      <c r="D7" s="116">
        <v>51858.559999999998</v>
      </c>
      <c r="E7" s="121">
        <f>SUM('Pt 1 Summary of Data'!E$37:E$41)+SUM('Pt 1 Summary of Data'!G$37:G$41)-SUM('Pt 1 Summary of Data'!H$37:H$41)+MAX(0,MIN('Pt 1 Summary of Data'!E$42+'Pt 1 Summary of Data'!G$42-'Pt 1 Summary of Data'!H$42,0.3%*('Pt 1 Summary of Data'!E$5+'Pt 1 Summary of Data'!G$5-'Pt 1 Summary of Data'!H$5-SUM(E$9:E$11))))</f>
        <v>47204.799999999996</v>
      </c>
      <c r="F7" s="121">
        <f>SUM(C7:E7)</f>
        <v>111122.85999999999</v>
      </c>
      <c r="G7" s="122">
        <f>SUM('Pt 1 Summary of Data'!I$37:I$41)+MAX(0,MIN('Pt 1 Summary of Data'!I$42,0.3%*('Pt 1 Summary of Data'!I$5-SUM(G$9:G$10))))</f>
        <v>0</v>
      </c>
      <c r="H7" s="115">
        <v>1164.18</v>
      </c>
      <c r="I7" s="116">
        <v>3527.0099999999998</v>
      </c>
      <c r="J7" s="121">
        <f>SUM('Pt 1 Summary of Data'!K$37:K$41)+SUM('Pt 1 Summary of Data'!M$37:M$41)-SUM('Pt 1 Summary of Data'!N$37:N$41)+MAX(0,MIN('Pt 1 Summary of Data'!K$42+'Pt 1 Summary of Data'!M$42-'Pt 1 Summary of Data'!N$42,0.3%*('Pt 1 Summary of Data'!K$5+'Pt 1 Summary of Data'!M$5-'Pt 1 Summary of Data'!N$5-SUM(J$10:J$11))))</f>
        <v>1212.8200000000002</v>
      </c>
      <c r="K7" s="121">
        <f>SUM(H7:J7)</f>
        <v>5904.01</v>
      </c>
      <c r="L7" s="122">
        <f>SUM('Pt 1 Summary of Data'!O$37:O$41)+MAX(0,MIN('Pt 1 Summary of Data'!O$42,0.3%*('Pt 1 Summary of Data'!O$5-L$10)))</f>
        <v>0</v>
      </c>
      <c r="M7" s="115">
        <v>1274.4299999999998</v>
      </c>
      <c r="N7" s="116">
        <v>1017.7099999999999</v>
      </c>
      <c r="O7" s="121">
        <f>SUM('Pt 1 Summary of Data'!Q$37:Q$41)+SUM('Pt 1 Summary of Data'!S$37:S$41)-SUM('Pt 1 Summary of Data'!T$37:T$41)+MAX(0,MIN('Pt 1 Summary of Data'!Q$42+'Pt 1 Summary of Data'!S$42-'Pt 1 Summary of Data'!T$42,0.3%*('Pt 1 Summary of Data'!Q$5+'Pt 1 Summary of Data'!S$5-'Pt 1 Summary of Data'!T$5)))</f>
        <v>280.95</v>
      </c>
      <c r="P7" s="121">
        <f>SUM(M7:O7)</f>
        <v>2573.0899999999997</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2610901.3099999996</v>
      </c>
      <c r="F9" s="121">
        <f>SUM(C9:E9)</f>
        <v>2610901.3099999996</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178764.83</v>
      </c>
      <c r="F10" s="121">
        <f>SUM(C10:E10)</f>
        <v>178764.83</v>
      </c>
      <c r="G10" s="122">
        <f>'Pt 2 Premium and Claims'!I$16</f>
        <v>0</v>
      </c>
      <c r="H10" s="298"/>
      <c r="I10" s="294"/>
      <c r="J10" s="121">
        <f>'Pt 2 Premium and Claims'!K$16+'Pt 2 Premium and Claims'!M$16-'Pt 2 Premium and Claims'!N$16</f>
        <v>-11304.8</v>
      </c>
      <c r="K10" s="121">
        <f>SUM(H10:J10)</f>
        <v>-11304.8</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3222964.91</v>
      </c>
      <c r="D12" s="121">
        <f>SUM(D$6:D$7)+IF(AND(OR('Company Information'!$C$12="District of Columbia",'Company Information'!$C$12="Massachusetts",'Company Information'!$C$12="Vermont"),SUM($C$6:$F$11,$C$15:$F$16,$C$37:$D$37)&lt;&gt;0),SUM(I$6:I$7),0)</f>
        <v>3521229.1384999999</v>
      </c>
      <c r="E12" s="121">
        <f>SUM(E$6:E$7)-SUM(E$8:E$11)+IF(AND(OR('Company Information'!$C$12="District of Columbia",'Company Information'!$C$12="Massachusetts",'Company Information'!$C$12="Vermont"),SUM($C$6:$F$11,$C$15:$F$16,$C$37:$D$37)&lt;&gt;0),SUM(J$6:J$7)-SUM(J$10:J$11),0)</f>
        <v>6110881.7190000014</v>
      </c>
      <c r="F12" s="121">
        <f>IFERROR(SUM(C$12:E$12)+C$17*MAX(0,E$49-C$49)+D$17*MAX(0,E$49-D$49),0)</f>
        <v>12855075.767500002</v>
      </c>
      <c r="G12" s="317"/>
      <c r="H12" s="120">
        <f>SUM(H$6:H$7)+IF(AND(OR('Company Information'!$C$12="District of Columbia",'Company Information'!$C$12="Massachusetts",'Company Information'!$C$12="Vermont"),SUM($H$6:$K$11,$H$15:$K$16,$H$37:$I$37)&lt;&gt;0),SUM(C$6:C$7),0)</f>
        <v>204006.5</v>
      </c>
      <c r="I12" s="121">
        <f>SUM(I$6:I$7)+IF(AND(OR('Company Information'!$C$12="District of Columbia",'Company Information'!$C$12="Massachusetts",'Company Information'!$C$12="Vermont"),SUM($H$6:$K$11,$H$15:$K$16,$H$37:$I$37)&lt;&gt;0),SUM(D$6:D$7),0)</f>
        <v>92626.986899999989</v>
      </c>
      <c r="J12" s="121">
        <f>SUM(J$6:J$7)-SUM(J$10:J$11)+IF(AND(OR('Company Information'!$C$12="District of Columbia",'Company Information'!$C$12="Massachusetts",'Company Information'!$C$12="Vermont"),SUM($H$6:$K$11,$H$15:$K$16,$H$37:$I$37)&lt;&gt;0),SUM(E$6:E$7)-SUM(E$8:E$11),0)</f>
        <v>26517.686900000001</v>
      </c>
      <c r="K12" s="121">
        <f>IFERROR(SUM(H$12:J$12)+H$17*MAX(0,J$49-H$49)+I$17*MAX(0,J$49-I$49),0)</f>
        <v>323151.17379999999</v>
      </c>
      <c r="L12" s="317"/>
      <c r="M12" s="120">
        <f>SUM(M$6:M$7)</f>
        <v>104666.13000000006</v>
      </c>
      <c r="N12" s="121">
        <f>SUM(N$6:N$7)</f>
        <v>54282.899799999999</v>
      </c>
      <c r="O12" s="121">
        <f>SUM(O$6:O$7)</f>
        <v>75851.437799999985</v>
      </c>
      <c r="P12" s="121">
        <f>SUM(M$12:O$12)+M$17*MAX(0,O$49-M$49)+N$17*MAX(0,O$49-N$49)</f>
        <v>234800.46760000006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4050057.09</v>
      </c>
      <c r="D15" s="124">
        <v>4135987.3194553894</v>
      </c>
      <c r="E15" s="112">
        <f>SUM('Pt 1 Summary of Data'!E$5:E$7)+SUM('Pt 1 Summary of Data'!G$5:G$7)-SUM('Pt 1 Summary of Data'!H$5:H$7)-SUM(E$9:E$11)+D$55</f>
        <v>6168018.3405446094</v>
      </c>
      <c r="F15" s="112">
        <f>SUM(C15:E15)</f>
        <v>14354062.749999998</v>
      </c>
      <c r="G15" s="113">
        <f>SUM('Pt 1 Summary of Data'!I$5:I$7)-SUM(G$9:G$10)</f>
        <v>0</v>
      </c>
      <c r="H15" s="123">
        <v>194064.85</v>
      </c>
      <c r="I15" s="124">
        <v>162710.39000000001</v>
      </c>
      <c r="J15" s="112">
        <f>SUM('Pt 1 Summary of Data'!K$5:K$7)+SUM('Pt 1 Summary of Data'!M$5:M$7)-SUM('Pt 1 Summary of Data'!N$5:N$7)-SUM(J$10:J$11)+I$55</f>
        <v>55143.009999999995</v>
      </c>
      <c r="K15" s="112">
        <f>SUM(H15:J15)</f>
        <v>411918.25</v>
      </c>
      <c r="L15" s="113">
        <f>SUM('Pt 1 Summary of Data'!O$5:O$7)-L$10</f>
        <v>0</v>
      </c>
      <c r="M15" s="123">
        <v>73511.92</v>
      </c>
      <c r="N15" s="124">
        <v>60885.778519944484</v>
      </c>
      <c r="O15" s="112">
        <f>SUM('Pt 1 Summary of Data'!Q$5:Q$7)+SUM('Pt 1 Summary of Data'!S$5:S$7)-SUM('Pt 1 Summary of Data'!T$5:T$7)+N$55</f>
        <v>97617.961480055499</v>
      </c>
      <c r="P15" s="112">
        <f>SUM(M15:O15)</f>
        <v>232015.65999999997</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229888</v>
      </c>
      <c r="D16" s="116">
        <v>-40270.492492583355</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-447969.07746741659</v>
      </c>
      <c r="F16" s="121">
        <f>SUM(C16:E16)</f>
        <v>-258351.56995999994</v>
      </c>
      <c r="G16" s="122">
        <f>SUM('Pt 1 Summary of Data'!I$25:I$28,'Pt 1 Summary of Data'!I$30,'Pt 1 Summary of Data'!I$34:I$35)+IF('Company Information'!$C$15="No",IF(MAX('Pt 1 Summary of Data'!I$31:I$32)=0,MIN('Pt 1 Summary of Data'!I$31:I$32),MAX('Pt 1 Summary of Data'!I$31:I$32)),SUM('Pt 1 Summary of Data'!I$31:I$32))</f>
        <v>0</v>
      </c>
      <c r="H16" s="115">
        <v>-27892</v>
      </c>
      <c r="I16" s="116">
        <v>10933</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33257.028730999999</v>
      </c>
      <c r="K16" s="121">
        <f>SUM(H16:J16)</f>
        <v>16298.028730999999</v>
      </c>
      <c r="L16" s="122">
        <f>SUM('Pt 1 Summary of Data'!O$25:O$28,'Pt 1 Summary of Data'!O$30,'Pt 1 Summary of Data'!O$34:O$35)+IF('Company Information'!$C$15="No",IF(MAX('Pt 1 Summary of Data'!O$31:O$32)=0,MIN('Pt 1 Summary of Data'!O$31:O$32),MAX('Pt 1 Summary of Data'!O$31:O$32)),SUM('Pt 1 Summary of Data'!O$31:O$32))</f>
        <v>0</v>
      </c>
      <c r="M16" s="115">
        <v>12562</v>
      </c>
      <c r="N16" s="116">
        <v>469.256007011365</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-2533.5236582113657</v>
      </c>
      <c r="P16" s="121">
        <f>SUM(M16:O16)</f>
        <v>10497.7323488</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3820169.09</v>
      </c>
      <c r="D17" s="121">
        <f>D$15-D$16+IF(AND(OR('Company Information'!$C$12="District of Columbia",'Company Information'!$C$12="Massachusetts",'Company Information'!$C$12="Vermont"),SUM($C$6:$F$11,$C$15:$F$16,$C$37:$D$37)&lt;&gt;0),I$15-I$16,0)</f>
        <v>4176257.811947973</v>
      </c>
      <c r="E17" s="121">
        <f>E$15-E$16+IF(AND(OR('Company Information'!$C$12="District of Columbia",'Company Information'!$C$12="Massachusetts",'Company Information'!$C$12="Vermont"),SUM($C$6:$F$11,$C$15:$F$16,$C$37:$D$37)&lt;&gt;0),J$15-J$16,0)</f>
        <v>6615987.4180120258</v>
      </c>
      <c r="F17" s="121">
        <f>F$15-F$16+IF(AND(OR('Company Information'!$C$12="District of Columbia",'Company Information'!$C$12="Massachusetts",'Company Information'!$C$12="Vermont"),SUM($C$6:$F$11,$C$15:$F$16,$C$37:$D$37)&lt;&gt;0),K$15-K$16,0)</f>
        <v>14612414.319959998</v>
      </c>
      <c r="G17" s="320"/>
      <c r="H17" s="120">
        <f>H$15-H$16+IF(AND(OR('Company Information'!$C$12="District of Columbia",'Company Information'!$C$12="Massachusetts",'Company Information'!$C$12="Vermont"),SUM($H$6:$K$11,$H$15:$K$16,$H$37:$I$37)&lt;&gt;0),C$15-C$16,0)</f>
        <v>221956.85</v>
      </c>
      <c r="I17" s="121">
        <f>I$15-I$16+IF(AND(OR('Company Information'!$C$12="District of Columbia",'Company Information'!$C$12="Massachusetts",'Company Information'!$C$12="Vermont"),SUM($H$6:$K$11,$H$15:$K$16,$H$37:$I$37)&lt;&gt;0),D$15-D$16,0)</f>
        <v>151777.39000000001</v>
      </c>
      <c r="J17" s="121">
        <f>J$15-J$16+IF(AND(OR('Company Information'!$C$12="District of Columbia",'Company Information'!$C$12="Massachusetts",'Company Information'!$C$12="Vermont"),SUM($H$6:$K$11,$H$15:$K$16,$H$37:$I$37)&lt;&gt;0),E$15-E$16,0)</f>
        <v>21885.981268999996</v>
      </c>
      <c r="K17" s="121">
        <f>K$15-K$16+IF(AND(OR('Company Information'!$C$12="District of Columbia",'Company Information'!$C$12="Massachusetts",'Company Information'!$C$12="Vermont"),SUM($H$6:$K$11,$H$15:$K$16,$H$37:$I$37)&lt;&gt;0),F$15-F$16,0)</f>
        <v>395620.22126899997</v>
      </c>
      <c r="L17" s="320"/>
      <c r="M17" s="120">
        <f>M$15-M$16</f>
        <v>60949.919999999998</v>
      </c>
      <c r="N17" s="121">
        <f>N$15-N$16</f>
        <v>60416.522512933123</v>
      </c>
      <c r="O17" s="121">
        <f>O$15-O$16</f>
        <v>100151.48513826687</v>
      </c>
      <c r="P17" s="121">
        <f>P$15-P$16</f>
        <v>221517.92765119998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1980.5833333333333</v>
      </c>
      <c r="D37" s="128">
        <v>1861</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1837.0833333333333</v>
      </c>
      <c r="F37" s="262">
        <f>SUM(C$37:E$37)+IF(AND(OR('Company Information'!$C$12="District of Columbia",'Company Information'!$C$12="Massachusetts",'Company Information'!$C$12="Vermont"),SUM($C$6:$F$11,$C$15:$F$16,$C$37:$D$37)&lt;&gt;0,SUM(C$37:D$37)&lt;&gt;SUM(H$37:I$37)),SUM(H$37:I$37),0)</f>
        <v>5678.6666666666661</v>
      </c>
      <c r="G37" s="318"/>
      <c r="H37" s="127">
        <v>17.416666666666668</v>
      </c>
      <c r="I37" s="128">
        <v>10</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6.25</v>
      </c>
      <c r="K37" s="262">
        <f>SUM(H$37:J$37)+IF(AND(OR('Company Information'!$C$12="District of Columbia",'Company Information'!$C$12="Massachusetts",'Company Information'!$C$12="Vermont"),SUM($H$6:$K$11,$H$15:$K$16,$H$37:$I$37)&lt;&gt;0,SUM(H$37:I$37)&lt;&gt;SUM(C$37:D$37)),SUM(C$37:D$37),0)</f>
        <v>33.666666666666671</v>
      </c>
      <c r="L37" s="318"/>
      <c r="M37" s="127">
        <v>13.083333333333334</v>
      </c>
      <c r="N37" s="128">
        <v>9</v>
      </c>
      <c r="O37" s="262">
        <f>('Pt 1 Summary of Data'!Q$59+'Pt 1 Summary of Data'!S$59-'Pt 1 Summary of Data'!T$59)/12</f>
        <v>8.0833333333333339</v>
      </c>
      <c r="P37" s="262">
        <f>SUM(M$37:O$37)</f>
        <v>30.166666666666671</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3.5506933333333331E-2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4501.4628161570408</v>
      </c>
      <c r="G39" s="317"/>
      <c r="H39" s="298"/>
      <c r="I39" s="294"/>
      <c r="J39" s="294"/>
      <c r="K39" s="116"/>
      <c r="L39" s="317"/>
      <c r="M39" s="298"/>
      <c r="N39" s="294"/>
      <c r="O39" s="294"/>
      <c r="P39" s="116">
        <v>3966.1426844014509</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1.3545392600981503</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1.303576783555018</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4.8095535205687677E-2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0.84367074704538803</v>
      </c>
      <c r="D44" s="266">
        <f>IF(OR(D$37&lt;1000,D$17&lt;=0),"",D$12/D$17)</f>
        <v>0.84315415787454906</v>
      </c>
      <c r="E44" s="266">
        <f>IF(OR(E$37&lt;1000,E$17&lt;=0),"",E$12/E$17)</f>
        <v>0.92365376970988877</v>
      </c>
      <c r="F44" s="266">
        <f>IF(OR(F$37&lt;1000,F$17&lt;=0),"",F$12/F$17)</f>
        <v>0.87973660519196073</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4.8095535205687677E-2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0.92800000000000005</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0.92800000000000005</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6615987.4180120258</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12788.110544610117</v>
      </c>
      <c r="E55" s="294"/>
      <c r="F55" s="294"/>
      <c r="G55" s="317"/>
      <c r="H55" s="298"/>
      <c r="I55" s="116"/>
      <c r="J55" s="294"/>
      <c r="K55" s="294"/>
      <c r="L55" s="317"/>
      <c r="M55" s="298"/>
      <c r="N55" s="116">
        <v>485.82148005550647</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-124.50750741664348</v>
      </c>
      <c r="E56" s="294"/>
      <c r="F56" s="294"/>
      <c r="G56" s="317"/>
      <c r="H56" s="298"/>
      <c r="I56" s="116"/>
      <c r="J56" s="294"/>
      <c r="K56" s="294"/>
      <c r="L56" s="317"/>
      <c r="M56" s="298"/>
      <c r="N56" s="116">
        <v>3.7439929886349947</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1513</v>
      </c>
      <c r="D4" s="155">
        <f>'Pt 1 Summary of Data'!$K$56+'Pt 1 Summary of Data'!$M$56-'Pt 1 Summary of Data'!$N$56</f>
        <v>6</v>
      </c>
      <c r="E4" s="155">
        <f>'Pt 1 Summary of Data'!$Q$56+'Pt 1 Summary of Data'!$S$56-'Pt 1 Summary of Data'!$T$56</f>
        <v>10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