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T47" i="10"/>
  <c r="T50" i="10" s="1"/>
  <c r="AB46" i="10"/>
  <c r="AB45" i="10"/>
  <c r="AA45" i="10"/>
  <c r="Z45" i="10"/>
  <c r="Y45" i="10"/>
  <c r="X45" i="10"/>
  <c r="X47" i="10" s="1"/>
  <c r="X50" i="10" s="1"/>
  <c r="W45" i="10"/>
  <c r="V45" i="10"/>
  <c r="U45" i="10"/>
  <c r="T45" i="10"/>
  <c r="T46" i="10" s="1"/>
  <c r="S45" i="10"/>
  <c r="R45" i="10"/>
  <c r="Q45" i="10"/>
  <c r="P44" i="10"/>
  <c r="O44" i="10"/>
  <c r="N44" i="10"/>
  <c r="M44" i="10"/>
  <c r="AB41" i="10"/>
  <c r="X41" i="10"/>
  <c r="T41" i="10"/>
  <c r="AB40" i="10"/>
  <c r="X40" i="10"/>
  <c r="T40" i="10"/>
  <c r="P40" i="10"/>
  <c r="K40" i="10"/>
  <c r="F40" i="10"/>
  <c r="AB38" i="10"/>
  <c r="X38" i="10"/>
  <c r="P38"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Y17" i="10"/>
  <c r="X17" i="10"/>
  <c r="W17" i="10"/>
  <c r="V17" i="10"/>
  <c r="U17" i="10"/>
  <c r="T17" i="10"/>
  <c r="S17" i="10"/>
  <c r="R17" i="10"/>
  <c r="Q17" i="10"/>
  <c r="P17" i="10"/>
  <c r="O17" i="10"/>
  <c r="N17" i="10"/>
  <c r="P12" i="10" s="1"/>
  <c r="M17" i="10"/>
  <c r="AB16" i="10"/>
  <c r="AA16" i="10"/>
  <c r="X16" i="10"/>
  <c r="U13" i="10" s="1"/>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Z55" i="18"/>
  <c r="Y55" i="18"/>
  <c r="X55" i="18"/>
  <c r="W55" i="18"/>
  <c r="V55" i="18"/>
  <c r="U55" i="18"/>
  <c r="T55" i="18"/>
  <c r="S55" i="18"/>
  <c r="R55" i="18"/>
  <c r="Q55" i="18"/>
  <c r="P55" i="18"/>
  <c r="O55" i="18"/>
  <c r="N55" i="18"/>
  <c r="M55" i="18"/>
  <c r="M22" i="4" s="1"/>
  <c r="L55" i="18"/>
  <c r="L22" i="4" s="1"/>
  <c r="K55" i="18"/>
  <c r="J55" i="18"/>
  <c r="J22" i="4" s="1"/>
  <c r="I55" i="18"/>
  <c r="H55" i="18"/>
  <c r="G55" i="18"/>
  <c r="F55" i="18"/>
  <c r="E55" i="18"/>
  <c r="D55" i="18"/>
  <c r="AU54" i="18"/>
  <c r="AT54" i="18"/>
  <c r="AS54" i="18"/>
  <c r="AC54" i="18"/>
  <c r="AB54" i="18"/>
  <c r="AA54" i="18"/>
  <c r="Z54" i="18"/>
  <c r="Y54" i="18"/>
  <c r="X54" i="18"/>
  <c r="W54" i="18"/>
  <c r="V54" i="18"/>
  <c r="U54" i="18"/>
  <c r="T54" i="18"/>
  <c r="S54" i="18"/>
  <c r="R54" i="18"/>
  <c r="Q54" i="18"/>
  <c r="Q12" i="4" s="1"/>
  <c r="P54" i="18"/>
  <c r="O54" i="18"/>
  <c r="N54" i="18"/>
  <c r="M54" i="18"/>
  <c r="L54" i="18"/>
  <c r="L12" i="4" s="1"/>
  <c r="K54" i="18"/>
  <c r="K12" i="4" s="1"/>
  <c r="J54" i="18"/>
  <c r="J12" i="4" s="1"/>
  <c r="I54" i="18"/>
  <c r="I12" i="4" s="1"/>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A22" i="4"/>
  <c r="Z22" i="4"/>
  <c r="Y22" i="4"/>
  <c r="X22" i="4"/>
  <c r="W22" i="4"/>
  <c r="V22" i="4"/>
  <c r="U22" i="4"/>
  <c r="T22" i="4"/>
  <c r="S22" i="4"/>
  <c r="R22" i="4"/>
  <c r="Q22" i="4"/>
  <c r="P22" i="4"/>
  <c r="O22" i="4"/>
  <c r="N22" i="4"/>
  <c r="K22" i="4"/>
  <c r="I22" i="4"/>
  <c r="H22" i="4"/>
  <c r="G22" i="4"/>
  <c r="F22" i="4"/>
  <c r="E22" i="4"/>
  <c r="D22" i="4"/>
  <c r="AU12" i="4"/>
  <c r="AT12" i="4"/>
  <c r="AS12" i="4"/>
  <c r="AC12" i="4"/>
  <c r="AB12" i="4"/>
  <c r="AA12" i="4"/>
  <c r="Z12" i="4"/>
  <c r="Y12" i="4"/>
  <c r="X12" i="4"/>
  <c r="W12" i="4"/>
  <c r="V12" i="4"/>
  <c r="U12" i="4"/>
  <c r="T12" i="4"/>
  <c r="S12" i="4"/>
  <c r="R12" i="4"/>
  <c r="P12" i="4"/>
  <c r="O12" i="4"/>
  <c r="N12" i="4"/>
  <c r="M12" i="4"/>
  <c r="H12" i="4"/>
  <c r="G12" i="4"/>
  <c r="F12" i="4"/>
  <c r="D12" i="4"/>
  <c r="AU5" i="4"/>
  <c r="AT5" i="4"/>
  <c r="AS5" i="4"/>
  <c r="AC5" i="4"/>
  <c r="AB5" i="4"/>
  <c r="AA5" i="4"/>
  <c r="Z5" i="4"/>
  <c r="Y5" i="4"/>
  <c r="X5" i="4"/>
  <c r="W5" i="4"/>
  <c r="V5" i="4"/>
  <c r="U5" i="4"/>
  <c r="T5" i="4"/>
  <c r="S5" i="4"/>
  <c r="R5" i="4"/>
  <c r="Q5" i="4"/>
  <c r="P5" i="4"/>
  <c r="O5" i="4"/>
  <c r="N5" i="4"/>
  <c r="M5" i="4"/>
  <c r="J7" i="10" s="1"/>
  <c r="L5" i="4"/>
  <c r="K5" i="4"/>
  <c r="J15" i="10" s="1"/>
  <c r="J5" i="4"/>
  <c r="I5" i="4"/>
  <c r="G15" i="10" s="1"/>
  <c r="H5" i="4"/>
  <c r="G5" i="4"/>
  <c r="F5" i="4"/>
  <c r="E5" i="4"/>
  <c r="E7" i="10" s="1"/>
  <c r="D5" i="4"/>
  <c r="K15" i="10" l="1"/>
  <c r="F7" i="10"/>
  <c r="K7" i="10"/>
  <c r="J17" i="10" s="1"/>
  <c r="H17" i="10"/>
  <c r="E15" i="10"/>
  <c r="G7" i="10"/>
  <c r="G29" i="10" s="1"/>
  <c r="G25" i="10"/>
  <c r="X46" i="10"/>
  <c r="T38" i="10"/>
  <c r="P41" i="10"/>
  <c r="P46" i="10" s="1"/>
  <c r="P47" i="10" s="1"/>
  <c r="P50" i="10" s="1"/>
  <c r="P52" i="10" s="1"/>
  <c r="E11" i="16" s="1"/>
  <c r="L26" i="10"/>
  <c r="L30" i="10" s="1"/>
  <c r="X13" i="10"/>
  <c r="T13" i="10"/>
  <c r="R13" i="10"/>
  <c r="S13" i="10"/>
  <c r="G21" i="10" l="1"/>
  <c r="J12" i="10"/>
  <c r="I17" i="10"/>
  <c r="G20" i="10"/>
  <c r="G19" i="10"/>
  <c r="G24" i="10" s="1"/>
  <c r="G23" i="10" s="1"/>
  <c r="D12" i="10"/>
  <c r="E17" i="10"/>
  <c r="F15" i="10"/>
  <c r="I12" i="10"/>
  <c r="C17" i="10"/>
  <c r="K17" i="10"/>
  <c r="G28" i="10"/>
  <c r="H12" i="10"/>
  <c r="H44" i="10" s="1"/>
  <c r="J37" i="10"/>
  <c r="E37" i="10"/>
  <c r="G27" i="10"/>
  <c r="F37" i="10" l="1"/>
  <c r="K12" i="10"/>
  <c r="F17" i="10"/>
  <c r="E12" i="10"/>
  <c r="E44" i="10" s="1"/>
  <c r="D17" i="10"/>
  <c r="D44" i="10" s="1"/>
  <c r="J44" i="10"/>
  <c r="K37" i="10"/>
  <c r="I44" i="10"/>
  <c r="C12" i="10"/>
  <c r="C44" i="10" s="1"/>
  <c r="G31" i="10"/>
  <c r="G32" i="10" s="1"/>
  <c r="G33" i="10" s="1"/>
  <c r="G26" i="10"/>
  <c r="G30" i="10" s="1"/>
  <c r="K51" i="10" l="1"/>
  <c r="K41" i="10"/>
  <c r="K44" i="10"/>
  <c r="K38" i="10"/>
  <c r="F12" i="10"/>
  <c r="F51" i="10"/>
  <c r="F44" i="10"/>
  <c r="F38" i="10"/>
  <c r="F41" i="10" s="1"/>
  <c r="F46" i="10" s="1"/>
  <c r="F47" i="10" s="1"/>
  <c r="F50" i="10" s="1"/>
  <c r="F52" i="10" s="1"/>
  <c r="C11" i="16" s="1"/>
  <c r="K46" i="10" l="1"/>
  <c r="K47" i="10"/>
  <c r="K50" i="10" s="1"/>
  <c r="K52" i="10" s="1"/>
  <c r="D11" i="16" s="1"/>
</calcChain>
</file>

<file path=xl/sharedStrings.xml><?xml version="1.0" encoding="utf-8"?>
<sst xmlns="http://schemas.openxmlformats.org/spreadsheetml/2006/main" count="571" uniqueCount="510">
  <si>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</si>
  <si>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</si>
  <si>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</si>
  <si>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</si>
  <si>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</si>
  <si>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</si>
  <si>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</si>
  <si>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</si>
  <si>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</si>
  <si>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</si>
  <si>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</si>
  <si>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</si>
  <si>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</si>
  <si>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</si>
  <si>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</si>
  <si>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</si>
  <si>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</si>
  <si>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</si>
  <si>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</si>
  <si>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</si>
  <si>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</si>
  <si>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</si>
  <si>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</si>
  <si>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</si>
  <si>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</si>
  <si>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</si>
  <si>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</si>
  <si>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</si>
  <si>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</si>
  <si>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</si>
  <si>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</si>
  <si>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</si>
  <si>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</si>
  <si>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</si>
  <si>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</si>
  <si>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</si>
  <si>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</si>
  <si>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</si>
  <si>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</si>
  <si>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</si>
  <si>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</si>
  <si>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</si>
  <si>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</si>
  <si>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</si>
  <si>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</si>
  <si>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</si>
  <si>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</si>
  <si>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</si>
  <si>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</si>
  <si>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</si>
  <si>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</si>
  <si>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</si>
  <si>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</si>
  <si>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</si>
  <si>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</si>
  <si>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</si>
  <si>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</si>
  <si>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</si>
  <si>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</si>
  <si>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</si>
  <si>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</si>
  <si>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</si>
  <si>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</si>
  <si>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</si>
  <si>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</si>
  <si>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</si>
  <si>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</si>
  <si>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</si>
  <si>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</si>
  <si>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</si>
  <si>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</si>
  <si>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</si>
  <si>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</si>
  <si>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</si>
  <si>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</si>
  <si>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</si>
  <si>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</si>
  <si>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</si>
  <si>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</si>
  <si>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</si>
  <si>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</si>
  <si>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</si>
  <si>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</si>
  <si>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</si>
  <si>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</si>
  <si>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</si>
  <si>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</si>
  <si>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</si>
  <si>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</si>
  <si>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</si>
  <si>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</si>
  <si>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</si>
  <si>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</si>
  <si>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</si>
  <si>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</si>
  <si>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</si>
  <si>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</si>
  <si>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</si>
  <si>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</si>
  <si>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</si>
  <si>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</si>
  <si>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</si>
  <si>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</si>
  <si>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</si>
  <si>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</si>
  <si>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</si>
  <si>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</si>
  <si>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</si>
  <si>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</si>
  <si>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</si>
  <si>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</si>
  <si>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</si>
  <si>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</si>
  <si>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</si>
  <si>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</si>
  <si>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</si>
  <si>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</si>
  <si>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</si>
  <si>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</si>
  <si>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</si>
  <si>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</si>
  <si>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</si>
  <si>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</si>
  <si>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</si>
  <si>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</si>
  <si>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</si>
  <si>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</si>
  <si>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</si>
  <si>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</si>
  <si>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</si>
  <si>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</si>
  <si>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</si>
  <si>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</si>
  <si>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</si>
  <si>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</si>
  <si>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</si>
  <si>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</si>
  <si>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</si>
  <si>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</si>
  <si>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</si>
  <si>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</si>
  <si>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</si>
  <si>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</si>
  <si>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</si>
  <si>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</si>
  <si>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</si>
  <si>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</si>
  <si>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</si>
  <si>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</si>
  <si>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</si>
  <si>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</si>
  <si>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</si>
  <si>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</si>
  <si>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</si>
  <si>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</si>
  <si>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</si>
  <si>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</si>
  <si>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</si>
  <si>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</si>
  <si>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</si>
  <si>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</si>
  <si>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</si>
  <si>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</si>
  <si>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</si>
  <si>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</si>
  <si>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</si>
  <si>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</si>
  <si>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</si>
  <si>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</si>
  <si>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</si>
  <si>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</si>
  <si>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</si>
  <si>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</si>
  <si>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</si>
  <si>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</si>
  <si>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</si>
  <si>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</si>
  <si>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</si>
  <si>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</si>
  <si>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</si>
  <si>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</si>
  <si>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</si>
  <si>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</si>
  <si>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</si>
  <si>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</si>
  <si>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</si>
  <si>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</si>
  <si>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</si>
  <si>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</si>
  <si>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</si>
  <si>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</si>
  <si>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</si>
  <si>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</si>
  <si>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</si>
  <si>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</si>
  <si>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</si>
  <si>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</si>
  <si>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</si>
  <si>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</si>
  <si>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</si>
  <si>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</si>
  <si>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</si>
  <si>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</si>
  <si>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</si>
  <si>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</si>
  <si>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</si>
  <si>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</si>
  <si>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</si>
  <si>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</si>
  <si>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</si>
  <si>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</si>
  <si>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</si>
  <si>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</si>
  <si>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</si>
  <si>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</si>
  <si>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</si>
  <si>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</si>
  <si>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</si>
  <si>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</si>
  <si>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</si>
  <si>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</si>
  <si>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</si>
  <si>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</si>
  <si>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</si>
  <si>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</si>
  <si>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</si>
  <si>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</si>
  <si>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</si>
  <si>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</si>
  <si>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</si>
  <si>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</si>
  <si>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</si>
  <si>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</si>
  <si>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</si>
  <si>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</si>
  <si>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</si>
  <si>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</si>
  <si>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</si>
  <si>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</si>
  <si>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</si>
  <si>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</si>
  <si>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</si>
  <si>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</si>
  <si>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</si>
  <si>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</si>
  <si>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</si>
  <si>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</si>
  <si>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</si>
  <si>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</si>
  <si>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</si>
  <si>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</si>
  <si>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</si>
  <si>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</si>
  <si>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</si>
  <si>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</si>
  <si>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</si>
  <si>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</si>
  <si>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</si>
  <si>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</si>
  <si>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</si>
  <si>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</si>
  <si>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</si>
  <si>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</si>
  <si>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</si>
  <si>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</si>
  <si>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</si>
  <si>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</si>
  <si>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</si>
  <si>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</si>
  <si>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</si>
  <si>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</si>
  <si>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</si>
  <si>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</si>
  <si>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</si>
  <si>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</si>
  <si>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</si>
  <si>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</si>
  <si>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</si>
  <si>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</si>
  <si>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</si>
  <si>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</si>
  <si>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</si>
  <si>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</si>
  <si>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</si>
  <si>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</si>
  <si>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</si>
  <si>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</si>
  <si>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</si>
  <si>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</si>
  <si>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</si>
  <si>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</si>
  <si>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</si>
  <si>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</si>
  <si>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</si>
  <si>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</si>
  <si>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</si>
  <si>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</si>
  <si>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</si>
  <si>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</si>
  <si>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</si>
  <si>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</si>
  <si>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</si>
  <si>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</si>
  <si>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</si>
  <si>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</si>
  <si>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</si>
  <si>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</si>
  <si>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</si>
  <si>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</si>
  <si>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</si>
  <si>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</si>
  <si>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</si>
  <si>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</si>
  <si>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</si>
  <si>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</si>
  <si>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</si>
  <si>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</si>
  <si>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</si>
  <si>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</si>
  <si>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</si>
  <si>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</si>
  <si>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</si>
  <si>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</si>
  <si>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</si>
  <si>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</si>
  <si>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</si>
  <si>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</si>
  <si>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</si>
  <si>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</si>
  <si>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</si>
  <si>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</si>
  <si>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</si>
  <si>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</si>
  <si>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</si>
  <si>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</si>
  <si>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</si>
  <si>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</si>
  <si>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</si>
  <si>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</si>
  <si>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</si>
  <si>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</si>
  <si>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</si>
  <si>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</si>
  <si>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</si>
  <si>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</si>
  <si>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</si>
  <si>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</si>
  <si>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</si>
  <si>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</si>
  <si>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</si>
  <si>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</si>
  <si>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</si>
  <si>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</si>
  <si>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</si>
  <si>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</si>
  <si>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</si>
  <si>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</si>
  <si>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</si>
  <si>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</si>
  <si>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</si>
  <si>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</si>
  <si>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</si>
  <si>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</si>
  <si>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</si>
  <si>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</si>
  <si>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</si>
  <si>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</si>
  <si>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</si>
  <si>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</si>
  <si>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</si>
  <si>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</si>
  <si>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</si>
  <si>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</si>
  <si>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</si>
  <si>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</si>
  <si>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</si>
  <si>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</si>
  <si>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</si>
  <si>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</si>
  <si>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</si>
  <si>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</si>
  <si>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</si>
  <si>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</si>
  <si>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</si>
  <si>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</si>
  <si>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</si>
  <si>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</si>
  <si>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</si>
  <si>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</si>
  <si>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</si>
  <si>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</si>
  <si>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</si>
  <si>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</si>
  <si>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</si>
  <si>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</si>
  <si>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</si>
  <si>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</si>
  <si>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</si>
  <si>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</si>
  <si>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</si>
  <si>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</si>
  <si>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</si>
  <si>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</si>
  <si>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</si>
  <si>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</si>
  <si>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</si>
  <si>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</si>
  <si>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</si>
  <si>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</si>
  <si>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</si>
  <si>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</si>
  <si>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</si>
  <si>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</si>
  <si>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</si>
  <si>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</si>
  <si>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</si>
  <si>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</si>
  <si>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</si>
  <si>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</si>
  <si>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</si>
  <si>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</si>
  <si>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</si>
  <si>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</si>
  <si>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</si>
  <si>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</si>
  <si>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</si>
  <si>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</si>
  <si>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</si>
  <si>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</si>
  <si>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</si>
  <si>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</si>
  <si>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</si>
  <si>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</si>
  <si>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</si>
  <si>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</si>
  <si>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</si>
  <si>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</si>
  <si>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</si>
  <si>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</si>
  <si>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</si>
  <si>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</si>
  <si>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</si>
  <si>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</si>
  <si>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</si>
  <si>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</si>
  <si>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</si>
  <si>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</si>
  <si>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</si>
  <si>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</si>
  <si>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</si>
  <si>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</si>
  <si>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</si>
  <si>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</si>
  <si>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</si>
  <si>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</si>
  <si>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</si>
  <si>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</si>
  <si>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</si>
  <si>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</si>
  <si>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</si>
  <si>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</si>
  <si>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</si>
  <si>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</si>
  <si>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</si>
  <si>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</si>
  <si>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</si>
  <si>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</si>
  <si>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</si>
  <si>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</si>
  <si>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</si>
  <si>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</si>
  <si>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</si>
  <si>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</si>
  <si>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</si>
  <si>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</si>
  <si>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</si>
  <si>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</si>
  <si>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</si>
  <si>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</si>
  <si>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</si>
  <si>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</si>
  <si>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</si>
  <si>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</si>
  <si>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</si>
  <si>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</si>
  <si>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</si>
  <si>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</si>
  <si>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</si>
  <si>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</si>
  <si>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</si>
  <si>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</si>
  <si>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</si>
  <si>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</si>
  <si>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</si>
  <si>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</si>
  <si>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</si>
  <si>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</si>
  <si>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</si>
  <si>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</si>
  <si>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</si>
  <si>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</si>
  <si>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</si>
  <si>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</si>
  <si>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91604</t>
  </si>
  <si>
    <t>219</t>
  </si>
  <si>
    <t>Humana Wisconsin Health Organization Insurance Corporation</t>
  </si>
  <si>
    <t>Humana Employers Health Plan of Georgia, Inc.</t>
  </si>
  <si>
    <t>Humana Health Plan, Inc.</t>
  </si>
  <si>
    <t>Humana Health Plan of Texas, Inc.</t>
  </si>
  <si>
    <t>Humana Insurance of Puerto Rico,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</si>
</sst>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192</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54" sqref="AW5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34611620</v>
      </c>
      <c r="E5" s="106">
        <f>SUM('Pt 2 Premium and Claims'!E$5,'Pt 2 Premium and Claims'!E$6,-'Pt 2 Premium and Claims'!E$7,-'Pt 2 Premium and Claims'!E$13,'Pt 2 Premium and Claims'!E$14:'Pt 2 Premium and Claims'!E$17)</f>
        <v>39683653.640000001</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123173178</v>
      </c>
      <c r="K5" s="106">
        <f>SUM('Pt 2 Premium and Claims'!K$5,'Pt 2 Premium and Claims'!K$6,-'Pt 2 Premium and Claims'!K$7,-'Pt 2 Premium and Claims'!K$13,'Pt 2 Premium and Claims'!K$14,'Pt 2 Premium and Claims'!K$16:'Pt 2 Premium and Claims'!K$17)</f>
        <v>117443182.06776899</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106968356</v>
      </c>
      <c r="Q5" s="106">
        <f>SUM('Pt 2 Premium and Claims'!Q$5,'Pt 2 Premium and Claims'!Q$6,-'Pt 2 Premium and Claims'!Q$7,-'Pt 2 Premium and Claims'!Q$13,'Pt 2 Premium and Claims'!Q$14)</f>
        <v>101640348.87497519</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596853111</v>
      </c>
      <c r="AT5" s="107">
        <f>SUM('Pt 2 Premium and Claims'!AT$5,'Pt 2 Premium and Claims'!AT$6,-'Pt 2 Premium and Claims'!AT$7,-'Pt 2 Premium and Claims'!AT$13,'Pt 2 Premium and Claims'!AT$14)</f>
        <v>36420318</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-53870</v>
      </c>
      <c r="E7" s="110">
        <v>-53870</v>
      </c>
      <c r="F7" s="110"/>
      <c r="G7" s="110"/>
      <c r="H7" s="110"/>
      <c r="I7" s="109"/>
      <c r="J7" s="109">
        <v>-272554</v>
      </c>
      <c r="K7" s="110">
        <v>-259297.40558607646</v>
      </c>
      <c r="L7" s="110"/>
      <c r="M7" s="110"/>
      <c r="N7" s="110"/>
      <c r="O7" s="109"/>
      <c r="P7" s="109">
        <v>-238765</v>
      </c>
      <c r="Q7" s="110">
        <v>-224017.1189417523</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-60955</v>
      </c>
      <c r="AU7" s="113"/>
      <c r="AV7" s="311"/>
      <c r="AW7" s="318"/>
    </row>
    <row r="8" spans="1:49" ht="25.5" x14ac:dyDescent="0.2">
      <c r="B8" s="155" t="s">
        <v>225</v>
      </c>
      <c r="C8" s="62" t="s">
        <v>59</v>
      </c>
      <c r="D8" s="109">
        <v>-142160</v>
      </c>
      <c r="E8" s="289"/>
      <c r="F8" s="290"/>
      <c r="G8" s="290"/>
      <c r="H8" s="290"/>
      <c r="I8" s="293"/>
      <c r="J8" s="109">
        <v>-216663</v>
      </c>
      <c r="K8" s="289"/>
      <c r="L8" s="290"/>
      <c r="M8" s="290"/>
      <c r="N8" s="290"/>
      <c r="O8" s="293"/>
      <c r="P8" s="109">
        <v>-134852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87462</v>
      </c>
      <c r="AT8" s="113">
        <v>-560324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34239597</v>
      </c>
      <c r="E12" s="106">
        <f>'Pt 2 Premium and Claims'!E$54</f>
        <v>34500075.396499999</v>
      </c>
      <c r="F12" s="106">
        <f>'Pt 2 Premium and Claims'!F$54</f>
        <v>0</v>
      </c>
      <c r="G12" s="106">
        <f>'Pt 2 Premium and Claims'!G$54</f>
        <v>0</v>
      </c>
      <c r="H12" s="106">
        <f>'Pt 2 Premium and Claims'!H$54</f>
        <v>0</v>
      </c>
      <c r="I12" s="105">
        <f>'Pt 2 Premium and Claims'!I$54</f>
        <v>0</v>
      </c>
      <c r="J12" s="105">
        <f>'Pt 2 Premium and Claims'!J$54</f>
        <v>96548242</v>
      </c>
      <c r="K12" s="106">
        <f>'Pt 2 Premium and Claims'!K$54</f>
        <v>88617463.244707346</v>
      </c>
      <c r="L12" s="106">
        <f>'Pt 2 Premium and Claims'!L$54</f>
        <v>0</v>
      </c>
      <c r="M12" s="106">
        <f>'Pt 2 Premium and Claims'!M$54</f>
        <v>0</v>
      </c>
      <c r="N12" s="106">
        <f>'Pt 2 Premium and Claims'!N$54</f>
        <v>0</v>
      </c>
      <c r="O12" s="105">
        <f>'Pt 2 Premium and Claims'!O$54</f>
        <v>0</v>
      </c>
      <c r="P12" s="105">
        <f>'Pt 2 Premium and Claims'!P$54</f>
        <v>87194822</v>
      </c>
      <c r="Q12" s="106">
        <f>'Pt 2 Premium and Claims'!Q$54</f>
        <v>79747077.703492701</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503602792</v>
      </c>
      <c r="AT12" s="107">
        <f>'Pt 2 Premium and Claims'!AT$54</f>
        <v>29979954</v>
      </c>
      <c r="AU12" s="107">
        <f>'Pt 2 Premium and Claims'!AU$54</f>
        <v>0</v>
      </c>
      <c r="AV12" s="312"/>
      <c r="AW12" s="317"/>
    </row>
    <row r="13" spans="1:49" ht="25.5" x14ac:dyDescent="0.2">
      <c r="B13" s="155" t="s">
        <v>230</v>
      </c>
      <c r="C13" s="62" t="s">
        <v>37</v>
      </c>
      <c r="D13" s="109">
        <v>3154506</v>
      </c>
      <c r="E13" s="110">
        <v>3177339.46</v>
      </c>
      <c r="F13" s="110"/>
      <c r="G13" s="289"/>
      <c r="H13" s="290"/>
      <c r="I13" s="109"/>
      <c r="J13" s="109">
        <v>12244555</v>
      </c>
      <c r="K13" s="110">
        <v>12527046.463552285</v>
      </c>
      <c r="L13" s="110"/>
      <c r="M13" s="289"/>
      <c r="N13" s="290"/>
      <c r="O13" s="109"/>
      <c r="P13" s="109">
        <v>12131333</v>
      </c>
      <c r="Q13" s="110">
        <v>11960728.736447705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107299898</v>
      </c>
      <c r="AT13" s="113">
        <v>1513</v>
      </c>
      <c r="AU13" s="113"/>
      <c r="AV13" s="311"/>
      <c r="AW13" s="318"/>
    </row>
    <row r="14" spans="1:49" ht="25.5" x14ac:dyDescent="0.2">
      <c r="B14" s="155" t="s">
        <v>231</v>
      </c>
      <c r="C14" s="62" t="s">
        <v>6</v>
      </c>
      <c r="D14" s="109">
        <v>203446</v>
      </c>
      <c r="E14" s="110">
        <v>199536.58999999997</v>
      </c>
      <c r="F14" s="110"/>
      <c r="G14" s="288"/>
      <c r="H14" s="291"/>
      <c r="I14" s="109"/>
      <c r="J14" s="109">
        <v>1264003</v>
      </c>
      <c r="K14" s="110">
        <v>1226206.5738515365</v>
      </c>
      <c r="L14" s="110"/>
      <c r="M14" s="288"/>
      <c r="N14" s="291"/>
      <c r="O14" s="109"/>
      <c r="P14" s="109">
        <v>1097572</v>
      </c>
      <c r="Q14" s="110">
        <v>1098131.346148463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25436555</v>
      </c>
      <c r="AT14" s="113">
        <v>93</v>
      </c>
      <c r="AU14" s="113"/>
      <c r="AV14" s="311"/>
      <c r="AW14" s="318"/>
    </row>
    <row r="15" spans="1:49" ht="38.25" x14ac:dyDescent="0.2">
      <c r="B15" s="155" t="s">
        <v>232</v>
      </c>
      <c r="C15" s="62" t="s">
        <v>7</v>
      </c>
      <c r="D15" s="109">
        <v>1281</v>
      </c>
      <c r="E15" s="110">
        <v>1281</v>
      </c>
      <c r="F15" s="110"/>
      <c r="G15" s="288"/>
      <c r="H15" s="294"/>
      <c r="I15" s="109"/>
      <c r="J15" s="109">
        <v>4464</v>
      </c>
      <c r="K15" s="110">
        <v>4464</v>
      </c>
      <c r="L15" s="110"/>
      <c r="M15" s="288"/>
      <c r="N15" s="294"/>
      <c r="O15" s="109"/>
      <c r="P15" s="109">
        <v>3339</v>
      </c>
      <c r="Q15" s="110">
        <v>3339</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19226</v>
      </c>
      <c r="AT15" s="113">
        <v>1356</v>
      </c>
      <c r="AU15" s="113"/>
      <c r="AV15" s="311"/>
      <c r="AW15" s="318"/>
    </row>
    <row r="16" spans="1:49" ht="25.5" x14ac:dyDescent="0.2">
      <c r="B16" s="155" t="s">
        <v>233</v>
      </c>
      <c r="C16" s="62" t="s">
        <v>61</v>
      </c>
      <c r="D16" s="109">
        <v>-4861859</v>
      </c>
      <c r="E16" s="289"/>
      <c r="F16" s="290"/>
      <c r="G16" s="291"/>
      <c r="H16" s="291"/>
      <c r="I16" s="293"/>
      <c r="J16" s="109">
        <v>-265602</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61350</v>
      </c>
      <c r="AT16" s="113">
        <v>-24976</v>
      </c>
      <c r="AU16" s="113"/>
      <c r="AV16" s="311"/>
      <c r="AW16" s="318"/>
    </row>
    <row r="17" spans="1:49" x14ac:dyDescent="0.2">
      <c r="B17" s="155" t="s">
        <v>234</v>
      </c>
      <c r="C17" s="62" t="s">
        <v>62</v>
      </c>
      <c r="D17" s="109"/>
      <c r="E17" s="288"/>
      <c r="F17" s="291"/>
      <c r="G17" s="291"/>
      <c r="H17" s="291"/>
      <c r="I17" s="292"/>
      <c r="J17" s="109">
        <v>-28689</v>
      </c>
      <c r="K17" s="288"/>
      <c r="L17" s="291"/>
      <c r="M17" s="291"/>
      <c r="N17" s="291"/>
      <c r="O17" s="292"/>
      <c r="P17" s="109">
        <v>2104969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-192105</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2443</v>
      </c>
      <c r="K19" s="288"/>
      <c r="L19" s="291"/>
      <c r="M19" s="291"/>
      <c r="N19" s="291"/>
      <c r="O19" s="292"/>
      <c r="P19" s="109">
        <v>1168120.0000000002</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31132</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27147</v>
      </c>
      <c r="E22" s="115">
        <f>'Pt 2 Premium and Claims'!E$55</f>
        <v>27147</v>
      </c>
      <c r="F22" s="115">
        <f>'Pt 2 Premium and Claims'!F$55</f>
        <v>0</v>
      </c>
      <c r="G22" s="115">
        <f>'Pt 2 Premium and Claims'!G$55</f>
        <v>0</v>
      </c>
      <c r="H22" s="115">
        <f>'Pt 2 Premium and Claims'!H$55</f>
        <v>0</v>
      </c>
      <c r="I22" s="114">
        <f>'Pt 2 Premium and Claims'!I$55</f>
        <v>0</v>
      </c>
      <c r="J22" s="114">
        <f>'Pt 2 Premium and Claims'!J$55</f>
        <v>120289</v>
      </c>
      <c r="K22" s="115">
        <f>'Pt 2 Premium and Claims'!K$55</f>
        <v>115997.35</v>
      </c>
      <c r="L22" s="115">
        <f>'Pt 2 Premium and Claims'!L$55</f>
        <v>0</v>
      </c>
      <c r="M22" s="115">
        <f>'Pt 2 Premium and Claims'!M$55</f>
        <v>0</v>
      </c>
      <c r="N22" s="115">
        <f>'Pt 2 Premium and Claims'!N$55</f>
        <v>0</v>
      </c>
      <c r="O22" s="114">
        <f>'Pt 2 Premium and Claims'!O$55</f>
        <v>0</v>
      </c>
      <c r="P22" s="114">
        <f>'Pt 2 Premium and Claims'!P$55</f>
        <v>129809</v>
      </c>
      <c r="Q22" s="115">
        <f>'Pt 2 Premium and Claims'!Q$55</f>
        <v>110303.79000000001</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-714744.66130000004</v>
      </c>
      <c r="E25" s="110">
        <v>-714744.66130000004</v>
      </c>
      <c r="F25" s="110"/>
      <c r="G25" s="110"/>
      <c r="H25" s="110"/>
      <c r="I25" s="109"/>
      <c r="J25" s="109">
        <v>2346809.6120000002</v>
      </c>
      <c r="K25" s="110">
        <v>2232664.5134397838</v>
      </c>
      <c r="L25" s="110"/>
      <c r="M25" s="110"/>
      <c r="N25" s="110"/>
      <c r="O25" s="109"/>
      <c r="P25" s="109">
        <v>904188.73080000002</v>
      </c>
      <c r="Q25" s="110">
        <v>848339.39000027499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5598051.5559999999</v>
      </c>
      <c r="AT25" s="113">
        <v>867332.01899999997</v>
      </c>
      <c r="AU25" s="113"/>
      <c r="AV25" s="113"/>
      <c r="AW25" s="318"/>
    </row>
    <row r="26" spans="1:49" s="5" customFormat="1" x14ac:dyDescent="0.2">
      <c r="A26" s="35"/>
      <c r="B26" s="158" t="s">
        <v>243</v>
      </c>
      <c r="C26" s="62"/>
      <c r="D26" s="109"/>
      <c r="E26" s="110">
        <v>20799.739999999998</v>
      </c>
      <c r="F26" s="110"/>
      <c r="G26" s="110"/>
      <c r="H26" s="110"/>
      <c r="I26" s="109"/>
      <c r="J26" s="109"/>
      <c r="K26" s="110">
        <v>54493.715725041067</v>
      </c>
      <c r="L26" s="110"/>
      <c r="M26" s="110"/>
      <c r="N26" s="110"/>
      <c r="O26" s="109"/>
      <c r="P26" s="109"/>
      <c r="Q26" s="110">
        <v>41539.434365391091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432948.13999999996</v>
      </c>
      <c r="E27" s="110">
        <v>432948.13999999996</v>
      </c>
      <c r="F27" s="110"/>
      <c r="G27" s="110"/>
      <c r="H27" s="110"/>
      <c r="I27" s="109"/>
      <c r="J27" s="109">
        <v>1629100.56</v>
      </c>
      <c r="K27" s="110">
        <v>1549863.6917705275</v>
      </c>
      <c r="L27" s="110"/>
      <c r="M27" s="110"/>
      <c r="N27" s="110"/>
      <c r="O27" s="109"/>
      <c r="P27" s="109">
        <v>1240486.75</v>
      </c>
      <c r="Q27" s="110">
        <v>1163865.1721165907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7419524.9300000006</v>
      </c>
      <c r="AT27" s="113">
        <v>44938.920000000006</v>
      </c>
      <c r="AU27" s="113"/>
      <c r="AV27" s="314"/>
      <c r="AW27" s="318"/>
    </row>
    <row r="28" spans="1:49" s="5" customFormat="1" x14ac:dyDescent="0.2">
      <c r="A28" s="35"/>
      <c r="B28" s="158" t="s">
        <v>245</v>
      </c>
      <c r="C28" s="62"/>
      <c r="D28" s="109">
        <v>582999.55000000005</v>
      </c>
      <c r="E28" s="110">
        <v>80147.819999999992</v>
      </c>
      <c r="F28" s="110"/>
      <c r="G28" s="110"/>
      <c r="H28" s="110"/>
      <c r="I28" s="109"/>
      <c r="J28" s="109">
        <v>1729452.3199999998</v>
      </c>
      <c r="K28" s="110">
        <v>226898.22548707546</v>
      </c>
      <c r="L28" s="110"/>
      <c r="M28" s="110"/>
      <c r="N28" s="110"/>
      <c r="O28" s="109"/>
      <c r="P28" s="109">
        <v>1358475.42</v>
      </c>
      <c r="Q28" s="110">
        <v>175469.88417033944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37613.829999999994</v>
      </c>
      <c r="AT28" s="113">
        <v>13707.510000000002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-39944.334990000003</v>
      </c>
      <c r="E30" s="110">
        <v>-31687.78499</v>
      </c>
      <c r="F30" s="110"/>
      <c r="G30" s="110"/>
      <c r="H30" s="110"/>
      <c r="I30" s="109"/>
      <c r="J30" s="109">
        <v>191287.55110000001</v>
      </c>
      <c r="K30" s="110">
        <v>205301.00566275991</v>
      </c>
      <c r="L30" s="110"/>
      <c r="M30" s="110"/>
      <c r="N30" s="110"/>
      <c r="O30" s="109"/>
      <c r="P30" s="109">
        <v>86386.590940000067</v>
      </c>
      <c r="Q30" s="110">
        <v>99087.361016656054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483673.07659999997</v>
      </c>
      <c r="AT30" s="113">
        <v>65037.65166999997</v>
      </c>
      <c r="AU30" s="113"/>
      <c r="AV30" s="113"/>
      <c r="AW30" s="318"/>
    </row>
    <row r="31" spans="1:49" x14ac:dyDescent="0.2">
      <c r="B31" s="158" t="s">
        <v>248</v>
      </c>
      <c r="C31" s="62"/>
      <c r="D31" s="109">
        <v>16892.039999999997</v>
      </c>
      <c r="E31" s="110">
        <v>2794.44</v>
      </c>
      <c r="F31" s="110"/>
      <c r="G31" s="110"/>
      <c r="H31" s="110"/>
      <c r="I31" s="109"/>
      <c r="J31" s="109">
        <v>11146.189999999999</v>
      </c>
      <c r="K31" s="110">
        <v>10604.056991163106</v>
      </c>
      <c r="L31" s="110"/>
      <c r="M31" s="110"/>
      <c r="N31" s="110"/>
      <c r="O31" s="109"/>
      <c r="P31" s="109">
        <v>8626.2100000000009</v>
      </c>
      <c r="Q31" s="110">
        <v>8093.3918773125597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3103.16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642811.5</v>
      </c>
      <c r="F34" s="110"/>
      <c r="G34" s="110"/>
      <c r="H34" s="110"/>
      <c r="I34" s="109"/>
      <c r="J34" s="109"/>
      <c r="K34" s="110">
        <v>1581206.3562879353</v>
      </c>
      <c r="L34" s="110"/>
      <c r="M34" s="110"/>
      <c r="N34" s="110"/>
      <c r="O34" s="109"/>
      <c r="P34" s="109"/>
      <c r="Q34" s="110">
        <v>1227690.2683795413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22591.450000000004</v>
      </c>
      <c r="E35" s="110">
        <v>24111.950000000004</v>
      </c>
      <c r="F35" s="110"/>
      <c r="G35" s="110"/>
      <c r="H35" s="110"/>
      <c r="I35" s="109"/>
      <c r="J35" s="109">
        <v>67840.900000000009</v>
      </c>
      <c r="K35" s="110">
        <v>67282.469947629172</v>
      </c>
      <c r="L35" s="110"/>
      <c r="M35" s="110"/>
      <c r="N35" s="110"/>
      <c r="O35" s="109"/>
      <c r="P35" s="109">
        <v>53063.590000000004</v>
      </c>
      <c r="Q35" s="110">
        <v>49786.020869976535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351899.20000000007</v>
      </c>
      <c r="AT35" s="113">
        <v>10747.26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95623</v>
      </c>
      <c r="E37" s="118">
        <v>95599.6</v>
      </c>
      <c r="F37" s="118"/>
      <c r="G37" s="118"/>
      <c r="H37" s="118"/>
      <c r="I37" s="117"/>
      <c r="J37" s="117">
        <v>668277</v>
      </c>
      <c r="K37" s="118">
        <v>654568.08000000007</v>
      </c>
      <c r="L37" s="118"/>
      <c r="M37" s="118"/>
      <c r="N37" s="118"/>
      <c r="O37" s="117"/>
      <c r="P37" s="117">
        <v>527178</v>
      </c>
      <c r="Q37" s="118">
        <v>510051.83999999997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4131245</v>
      </c>
      <c r="AT37" s="119">
        <v>1494</v>
      </c>
      <c r="AU37" s="119"/>
      <c r="AV37" s="119"/>
      <c r="AW37" s="317"/>
    </row>
    <row r="38" spans="1:49" x14ac:dyDescent="0.2">
      <c r="B38" s="155" t="s">
        <v>255</v>
      </c>
      <c r="C38" s="62" t="s">
        <v>16</v>
      </c>
      <c r="D38" s="109">
        <v>19732</v>
      </c>
      <c r="E38" s="110">
        <v>19714.919999999998</v>
      </c>
      <c r="F38" s="110"/>
      <c r="G38" s="110"/>
      <c r="H38" s="110"/>
      <c r="I38" s="109"/>
      <c r="J38" s="109">
        <v>180452</v>
      </c>
      <c r="K38" s="110">
        <v>171979.44</v>
      </c>
      <c r="L38" s="110"/>
      <c r="M38" s="110"/>
      <c r="N38" s="110"/>
      <c r="O38" s="109"/>
      <c r="P38" s="109">
        <v>138502</v>
      </c>
      <c r="Q38" s="110">
        <v>129561.00000000001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1562959</v>
      </c>
      <c r="AT38" s="113">
        <v>42</v>
      </c>
      <c r="AU38" s="113"/>
      <c r="AV38" s="113"/>
      <c r="AW38" s="318"/>
    </row>
    <row r="39" spans="1:49" x14ac:dyDescent="0.2">
      <c r="B39" s="158" t="s">
        <v>256</v>
      </c>
      <c r="C39" s="62" t="s">
        <v>17</v>
      </c>
      <c r="D39" s="109">
        <v>56553</v>
      </c>
      <c r="E39" s="110">
        <v>56550.009999999995</v>
      </c>
      <c r="F39" s="110"/>
      <c r="G39" s="110"/>
      <c r="H39" s="110"/>
      <c r="I39" s="109"/>
      <c r="J39" s="109">
        <v>183179</v>
      </c>
      <c r="K39" s="110">
        <v>181312.33000000002</v>
      </c>
      <c r="L39" s="110"/>
      <c r="M39" s="110"/>
      <c r="N39" s="110"/>
      <c r="O39" s="109"/>
      <c r="P39" s="109">
        <v>141455</v>
      </c>
      <c r="Q39" s="110">
        <v>139463.69999999998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1230052</v>
      </c>
      <c r="AT39" s="113">
        <v>5099</v>
      </c>
      <c r="AU39" s="113"/>
      <c r="AV39" s="113"/>
      <c r="AW39" s="318"/>
    </row>
    <row r="40" spans="1:49" x14ac:dyDescent="0.2">
      <c r="B40" s="158" t="s">
        <v>257</v>
      </c>
      <c r="C40" s="62" t="s">
        <v>38</v>
      </c>
      <c r="D40" s="109">
        <v>198776</v>
      </c>
      <c r="E40" s="110">
        <v>198760.76999999996</v>
      </c>
      <c r="F40" s="110"/>
      <c r="G40" s="110"/>
      <c r="H40" s="110"/>
      <c r="I40" s="109"/>
      <c r="J40" s="109">
        <v>1494889</v>
      </c>
      <c r="K40" s="110">
        <v>1488916.5599999998</v>
      </c>
      <c r="L40" s="110"/>
      <c r="M40" s="110"/>
      <c r="N40" s="110"/>
      <c r="O40" s="109"/>
      <c r="P40" s="109">
        <v>1182551</v>
      </c>
      <c r="Q40" s="110">
        <v>1176168.18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4493694</v>
      </c>
      <c r="AT40" s="113">
        <v>10402</v>
      </c>
      <c r="AU40" s="113"/>
      <c r="AV40" s="113"/>
      <c r="AW40" s="318"/>
    </row>
    <row r="41" spans="1:49" s="5" customFormat="1" ht="25.5" x14ac:dyDescent="0.2">
      <c r="A41" s="35"/>
      <c r="B41" s="158" t="s">
        <v>258</v>
      </c>
      <c r="C41" s="62" t="s">
        <v>129</v>
      </c>
      <c r="D41" s="109">
        <v>48485</v>
      </c>
      <c r="E41" s="110">
        <v>48476.470000000008</v>
      </c>
      <c r="F41" s="110"/>
      <c r="G41" s="110"/>
      <c r="H41" s="110"/>
      <c r="I41" s="109"/>
      <c r="J41" s="109">
        <v>119462</v>
      </c>
      <c r="K41" s="110">
        <v>113995.87</v>
      </c>
      <c r="L41" s="110"/>
      <c r="M41" s="110"/>
      <c r="N41" s="110"/>
      <c r="O41" s="109"/>
      <c r="P41" s="109">
        <v>93526</v>
      </c>
      <c r="Q41" s="110">
        <v>87523.920000000013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1569943</v>
      </c>
      <c r="AT41" s="113">
        <v>16575</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309396</v>
      </c>
      <c r="E44" s="118">
        <v>309396</v>
      </c>
      <c r="F44" s="118"/>
      <c r="G44" s="118"/>
      <c r="H44" s="118"/>
      <c r="I44" s="117"/>
      <c r="J44" s="117">
        <v>1853326</v>
      </c>
      <c r="K44" s="118">
        <v>1763716.6757931495</v>
      </c>
      <c r="L44" s="118"/>
      <c r="M44" s="118"/>
      <c r="N44" s="118"/>
      <c r="O44" s="117"/>
      <c r="P44" s="117">
        <v>1520675</v>
      </c>
      <c r="Q44" s="118">
        <v>1423813.2442646481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7376441</v>
      </c>
      <c r="AT44" s="119">
        <v>-52294</v>
      </c>
      <c r="AU44" s="119"/>
      <c r="AV44" s="119"/>
      <c r="AW44" s="317"/>
    </row>
    <row r="45" spans="1:49" x14ac:dyDescent="0.2">
      <c r="B45" s="161" t="s">
        <v>262</v>
      </c>
      <c r="C45" s="62" t="s">
        <v>19</v>
      </c>
      <c r="D45" s="109">
        <v>371228</v>
      </c>
      <c r="E45" s="110">
        <v>371228</v>
      </c>
      <c r="F45" s="110"/>
      <c r="G45" s="110"/>
      <c r="H45" s="110"/>
      <c r="I45" s="109"/>
      <c r="J45" s="109">
        <v>984390</v>
      </c>
      <c r="K45" s="110">
        <v>936794.20592168812</v>
      </c>
      <c r="L45" s="110"/>
      <c r="M45" s="110"/>
      <c r="N45" s="110"/>
      <c r="O45" s="109"/>
      <c r="P45" s="109">
        <v>786970</v>
      </c>
      <c r="Q45" s="110">
        <v>736842.72368451511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6517936</v>
      </c>
      <c r="AT45" s="113">
        <v>81595</v>
      </c>
      <c r="AU45" s="113"/>
      <c r="AV45" s="113"/>
      <c r="AW45" s="318"/>
    </row>
    <row r="46" spans="1:49" x14ac:dyDescent="0.2">
      <c r="B46" s="161" t="s">
        <v>263</v>
      </c>
      <c r="C46" s="62" t="s">
        <v>20</v>
      </c>
      <c r="D46" s="109">
        <v>392156</v>
      </c>
      <c r="E46" s="110">
        <v>392156</v>
      </c>
      <c r="F46" s="110"/>
      <c r="G46" s="110"/>
      <c r="H46" s="110"/>
      <c r="I46" s="109"/>
      <c r="J46" s="109">
        <v>585407</v>
      </c>
      <c r="K46" s="110">
        <v>557102.25185749307</v>
      </c>
      <c r="L46" s="110"/>
      <c r="M46" s="110"/>
      <c r="N46" s="110"/>
      <c r="O46" s="109"/>
      <c r="P46" s="109">
        <v>457792</v>
      </c>
      <c r="Q46" s="110">
        <v>428632.22760839871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6521151</v>
      </c>
      <c r="AT46" s="113">
        <v>95122</v>
      </c>
      <c r="AU46" s="113"/>
      <c r="AV46" s="113"/>
      <c r="AW46" s="318"/>
    </row>
    <row r="47" spans="1:49" x14ac:dyDescent="0.2">
      <c r="B47" s="161" t="s">
        <v>264</v>
      </c>
      <c r="C47" s="62" t="s">
        <v>21</v>
      </c>
      <c r="D47" s="109">
        <v>2158378</v>
      </c>
      <c r="E47" s="110">
        <v>2158378</v>
      </c>
      <c r="F47" s="110"/>
      <c r="G47" s="110"/>
      <c r="H47" s="110"/>
      <c r="I47" s="109"/>
      <c r="J47" s="109">
        <v>3980665</v>
      </c>
      <c r="K47" s="110">
        <v>3788197.6733969836</v>
      </c>
      <c r="L47" s="110"/>
      <c r="M47" s="110"/>
      <c r="N47" s="110"/>
      <c r="O47" s="109"/>
      <c r="P47" s="109">
        <v>3278372</v>
      </c>
      <c r="Q47" s="110">
        <v>3069551.0041438062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5832367</v>
      </c>
      <c r="AT47" s="113">
        <v>1712010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139820.43498999998</v>
      </c>
      <c r="E49" s="110">
        <v>53869.584989999996</v>
      </c>
      <c r="F49" s="110"/>
      <c r="G49" s="110"/>
      <c r="H49" s="110"/>
      <c r="I49" s="109"/>
      <c r="J49" s="109">
        <v>108136.50890000007</v>
      </c>
      <c r="K49" s="110">
        <v>-140487.99396493606</v>
      </c>
      <c r="L49" s="110"/>
      <c r="M49" s="110"/>
      <c r="N49" s="110"/>
      <c r="O49" s="109"/>
      <c r="P49" s="109">
        <v>149203.84905999998</v>
      </c>
      <c r="Q49" s="110">
        <v>-48083.265166534016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1447910.1633999995</v>
      </c>
      <c r="AT49" s="113">
        <v>83311.488330000022</v>
      </c>
      <c r="AU49" s="113"/>
      <c r="AV49" s="113"/>
      <c r="AW49" s="318"/>
    </row>
    <row r="50" spans="2:49" ht="25.5" x14ac:dyDescent="0.2">
      <c r="B50" s="155" t="s">
        <v>266</v>
      </c>
      <c r="C50" s="62"/>
      <c r="D50" s="109">
        <v>1222.3399999999999</v>
      </c>
      <c r="E50" s="110">
        <v>1222.3399999999999</v>
      </c>
      <c r="F50" s="110"/>
      <c r="G50" s="110"/>
      <c r="H50" s="110"/>
      <c r="I50" s="109"/>
      <c r="J50" s="109">
        <v>3940.7900000000009</v>
      </c>
      <c r="K50" s="110">
        <v>3750.2506514228407</v>
      </c>
      <c r="L50" s="110"/>
      <c r="M50" s="110"/>
      <c r="N50" s="110"/>
      <c r="O50" s="109"/>
      <c r="P50" s="109">
        <v>3120.38</v>
      </c>
      <c r="Q50" s="110">
        <v>2921.6225499455982</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21619.549999999992</v>
      </c>
      <c r="AT50" s="113">
        <v>472.09000000000003</v>
      </c>
      <c r="AU50" s="113"/>
      <c r="AV50" s="113"/>
      <c r="AW50" s="318"/>
    </row>
    <row r="51" spans="2:49" x14ac:dyDescent="0.2">
      <c r="B51" s="155" t="s">
        <v>267</v>
      </c>
      <c r="C51" s="62"/>
      <c r="D51" s="109">
        <v>2218460</v>
      </c>
      <c r="E51" s="110">
        <v>2218460</v>
      </c>
      <c r="F51" s="110"/>
      <c r="G51" s="110"/>
      <c r="H51" s="110"/>
      <c r="I51" s="109"/>
      <c r="J51" s="109">
        <v>7171784</v>
      </c>
      <c r="K51" s="110">
        <v>6825024.3270673901</v>
      </c>
      <c r="L51" s="110"/>
      <c r="M51" s="110"/>
      <c r="N51" s="110"/>
      <c r="O51" s="109"/>
      <c r="P51" s="109">
        <v>5622268</v>
      </c>
      <c r="Q51" s="110">
        <v>5264148.9083501166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34607255</v>
      </c>
      <c r="AT51" s="113">
        <v>1081109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3940</v>
      </c>
      <c r="E56" s="122">
        <v>5256</v>
      </c>
      <c r="F56" s="122"/>
      <c r="G56" s="122"/>
      <c r="H56" s="122"/>
      <c r="I56" s="121"/>
      <c r="J56" s="121">
        <v>23359</v>
      </c>
      <c r="K56" s="122">
        <v>13684</v>
      </c>
      <c r="L56" s="122"/>
      <c r="M56" s="122"/>
      <c r="N56" s="122"/>
      <c r="O56" s="121"/>
      <c r="P56" s="121">
        <v>21881</v>
      </c>
      <c r="Q56" s="122">
        <v>9206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129350</v>
      </c>
      <c r="AT56" s="123">
        <v>62915</v>
      </c>
      <c r="AU56" s="123"/>
      <c r="AV56" s="123"/>
      <c r="AW56" s="309"/>
    </row>
    <row r="57" spans="2:49" x14ac:dyDescent="0.2">
      <c r="B57" s="161" t="s">
        <v>273</v>
      </c>
      <c r="C57" s="62" t="s">
        <v>25</v>
      </c>
      <c r="D57" s="124">
        <v>3940</v>
      </c>
      <c r="E57" s="125">
        <v>9092</v>
      </c>
      <c r="F57" s="125"/>
      <c r="G57" s="125"/>
      <c r="H57" s="125"/>
      <c r="I57" s="124"/>
      <c r="J57" s="124">
        <v>37175</v>
      </c>
      <c r="K57" s="125">
        <v>27090</v>
      </c>
      <c r="L57" s="125"/>
      <c r="M57" s="125"/>
      <c r="N57" s="125"/>
      <c r="O57" s="124"/>
      <c r="P57" s="124">
        <v>31881</v>
      </c>
      <c r="Q57" s="125">
        <v>20903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136277</v>
      </c>
      <c r="AT57" s="126">
        <v>131944</v>
      </c>
      <c r="AU57" s="126"/>
      <c r="AV57" s="126"/>
      <c r="AW57" s="310"/>
    </row>
    <row r="58" spans="2:49" x14ac:dyDescent="0.2">
      <c r="B58" s="161" t="s">
        <v>274</v>
      </c>
      <c r="C58" s="62" t="s">
        <v>26</v>
      </c>
      <c r="D58" s="330"/>
      <c r="E58" s="331"/>
      <c r="F58" s="331"/>
      <c r="G58" s="331"/>
      <c r="H58" s="331"/>
      <c r="I58" s="330"/>
      <c r="J58" s="124">
        <v>1056</v>
      </c>
      <c r="K58" s="125">
        <v>1056</v>
      </c>
      <c r="L58" s="125"/>
      <c r="M58" s="125"/>
      <c r="N58" s="125"/>
      <c r="O58" s="124"/>
      <c r="P58" s="124">
        <v>78</v>
      </c>
      <c r="Q58" s="125">
        <v>78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42</v>
      </c>
      <c r="AT58" s="126">
        <v>874</v>
      </c>
      <c r="AU58" s="126"/>
      <c r="AV58" s="126"/>
      <c r="AW58" s="310"/>
    </row>
    <row r="59" spans="2:49" x14ac:dyDescent="0.2">
      <c r="B59" s="161" t="s">
        <v>275</v>
      </c>
      <c r="C59" s="62" t="s">
        <v>27</v>
      </c>
      <c r="D59" s="124">
        <v>118556</v>
      </c>
      <c r="E59" s="125">
        <v>118386</v>
      </c>
      <c r="F59" s="125"/>
      <c r="G59" s="125"/>
      <c r="H59" s="125"/>
      <c r="I59" s="124"/>
      <c r="J59" s="124">
        <v>449393</v>
      </c>
      <c r="K59" s="125">
        <v>307398</v>
      </c>
      <c r="L59" s="125"/>
      <c r="M59" s="125"/>
      <c r="N59" s="125"/>
      <c r="O59" s="124"/>
      <c r="P59" s="124">
        <v>397719</v>
      </c>
      <c r="Q59" s="125">
        <v>242673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1591578</v>
      </c>
      <c r="AT59" s="126">
        <v>1555468</v>
      </c>
      <c r="AU59" s="126"/>
      <c r="AV59" s="126"/>
      <c r="AW59" s="310"/>
    </row>
    <row r="60" spans="2:49" x14ac:dyDescent="0.2">
      <c r="B60" s="161" t="s">
        <v>276</v>
      </c>
      <c r="C60" s="62"/>
      <c r="D60" s="127">
        <f t="shared" ref="D60:AC60" si="0">D$59/12</f>
        <v>9879.6666666666661</v>
      </c>
      <c r="E60" s="128">
        <f t="shared" si="0"/>
        <v>9865.5</v>
      </c>
      <c r="F60" s="128">
        <f t="shared" si="0"/>
        <v>0</v>
      </c>
      <c r="G60" s="128">
        <f t="shared" si="0"/>
        <v>0</v>
      </c>
      <c r="H60" s="128">
        <f t="shared" si="0"/>
        <v>0</v>
      </c>
      <c r="I60" s="127">
        <f t="shared" si="0"/>
        <v>0</v>
      </c>
      <c r="J60" s="127">
        <f t="shared" si="0"/>
        <v>37449.416666666664</v>
      </c>
      <c r="K60" s="128">
        <f t="shared" si="0"/>
        <v>25616.5</v>
      </c>
      <c r="L60" s="128">
        <f t="shared" si="0"/>
        <v>0</v>
      </c>
      <c r="M60" s="128">
        <f t="shared" si="0"/>
        <v>0</v>
      </c>
      <c r="N60" s="128">
        <f t="shared" si="0"/>
        <v>0</v>
      </c>
      <c r="O60" s="127">
        <f t="shared" si="0"/>
        <v>0</v>
      </c>
      <c r="P60" s="127">
        <f t="shared" si="0"/>
        <v>33143.25</v>
      </c>
      <c r="Q60" s="128">
        <f t="shared" si="0"/>
        <v>20222.75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132631.5</v>
      </c>
      <c r="AT60" s="129">
        <f>AT$59/12</f>
        <v>129622.33333333333</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265086838.99999997</v>
      </c>
    </row>
    <row r="62" spans="2:49" ht="33.75" thickBot="1"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93120624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34580094</v>
      </c>
      <c r="E5" s="118">
        <v>32154163.389999997</v>
      </c>
      <c r="F5" s="118"/>
      <c r="G5" s="130"/>
      <c r="H5" s="130"/>
      <c r="I5" s="117"/>
      <c r="J5" s="117">
        <v>123173178</v>
      </c>
      <c r="K5" s="118">
        <v>115175853.997769</v>
      </c>
      <c r="L5" s="118"/>
      <c r="M5" s="118"/>
      <c r="N5" s="118"/>
      <c r="O5" s="117"/>
      <c r="P5" s="117">
        <v>106968356</v>
      </c>
      <c r="Q5" s="118">
        <v>101640348.87497519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596853111</v>
      </c>
      <c r="AT5" s="119">
        <v>36379179</v>
      </c>
      <c r="AU5" s="119"/>
      <c r="AV5" s="312"/>
      <c r="AW5" s="317"/>
    </row>
    <row r="6" spans="2:49" x14ac:dyDescent="0.2">
      <c r="B6" s="176" t="s">
        <v>279</v>
      </c>
      <c r="C6" s="133" t="s">
        <v>8</v>
      </c>
      <c r="D6" s="109">
        <v>246697</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70930</v>
      </c>
      <c r="AU6" s="113"/>
      <c r="AV6" s="311"/>
      <c r="AW6" s="318"/>
    </row>
    <row r="7" spans="2:49" x14ac:dyDescent="0.2">
      <c r="B7" s="176" t="s">
        <v>280</v>
      </c>
      <c r="C7" s="133" t="s">
        <v>9</v>
      </c>
      <c r="D7" s="109">
        <v>215171</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29791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0.16000000001076842</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-9254497</v>
      </c>
      <c r="AT11" s="113"/>
      <c r="AU11" s="113"/>
      <c r="AV11" s="311"/>
      <c r="AW11" s="318"/>
    </row>
    <row r="12" spans="2:49" x14ac:dyDescent="0.2">
      <c r="B12" s="176" t="s">
        <v>283</v>
      </c>
      <c r="C12" s="133" t="s">
        <v>44</v>
      </c>
      <c r="D12" s="109"/>
      <c r="E12" s="289"/>
      <c r="F12" s="289"/>
      <c r="G12" s="289"/>
      <c r="H12" s="289"/>
      <c r="I12" s="293"/>
      <c r="J12" s="109">
        <v>-7.999999984212991E-2</v>
      </c>
      <c r="K12" s="289"/>
      <c r="L12" s="289"/>
      <c r="M12" s="289"/>
      <c r="N12" s="289"/>
      <c r="O12" s="293"/>
      <c r="P12" s="109">
        <v>0.39999999920837581</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-6571328</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3869243.8200000008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3660246.43</v>
      </c>
      <c r="F16" s="110"/>
      <c r="G16" s="110"/>
      <c r="H16" s="110"/>
      <c r="I16" s="109"/>
      <c r="J16" s="109"/>
      <c r="K16" s="110">
        <v>2267328.0699999998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87462</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-152299</v>
      </c>
      <c r="AU19" s="113"/>
      <c r="AV19" s="311"/>
      <c r="AW19" s="318"/>
    </row>
    <row r="20" spans="2:49" s="5" customFormat="1" ht="25.5" x14ac:dyDescent="0.2">
      <c r="B20" s="178" t="s">
        <v>485</v>
      </c>
      <c r="C20" s="133"/>
      <c r="D20" s="109"/>
      <c r="E20" s="110">
        <v>186.96</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34357751</v>
      </c>
      <c r="E23" s="288"/>
      <c r="F23" s="288"/>
      <c r="G23" s="288"/>
      <c r="H23" s="288"/>
      <c r="I23" s="292"/>
      <c r="J23" s="109">
        <v>94665919</v>
      </c>
      <c r="K23" s="288"/>
      <c r="L23" s="288"/>
      <c r="M23" s="288"/>
      <c r="N23" s="288"/>
      <c r="O23" s="292"/>
      <c r="P23" s="109">
        <v>88570563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503855541</v>
      </c>
      <c r="AT23" s="113">
        <v>29634473</v>
      </c>
      <c r="AU23" s="113"/>
      <c r="AV23" s="311"/>
      <c r="AW23" s="318"/>
    </row>
    <row r="24" spans="2:49" ht="28.5" customHeight="1" x14ac:dyDescent="0.2">
      <c r="B24" s="178" t="s">
        <v>114</v>
      </c>
      <c r="C24" s="133"/>
      <c r="D24" s="293"/>
      <c r="E24" s="110">
        <v>34810923.891000003</v>
      </c>
      <c r="F24" s="110"/>
      <c r="G24" s="110"/>
      <c r="H24" s="110"/>
      <c r="I24" s="109"/>
      <c r="J24" s="293"/>
      <c r="K24" s="110">
        <v>87890603.25000003</v>
      </c>
      <c r="L24" s="110"/>
      <c r="M24" s="110"/>
      <c r="N24" s="110"/>
      <c r="O24" s="109"/>
      <c r="P24" s="293"/>
      <c r="Q24" s="110">
        <v>80953278.350000009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3756583</v>
      </c>
      <c r="E26" s="288"/>
      <c r="F26" s="288"/>
      <c r="G26" s="288"/>
      <c r="H26" s="288"/>
      <c r="I26" s="292"/>
      <c r="J26" s="109">
        <v>10633437</v>
      </c>
      <c r="K26" s="288"/>
      <c r="L26" s="288"/>
      <c r="M26" s="288"/>
      <c r="N26" s="288"/>
      <c r="O26" s="292"/>
      <c r="P26" s="109">
        <v>7480251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53835867</v>
      </c>
      <c r="AT26" s="113">
        <v>6324560</v>
      </c>
      <c r="AU26" s="113"/>
      <c r="AV26" s="311"/>
      <c r="AW26" s="318"/>
    </row>
    <row r="27" spans="2:49" s="5" customFormat="1" ht="25.5" x14ac:dyDescent="0.2">
      <c r="B27" s="178" t="s">
        <v>85</v>
      </c>
      <c r="C27" s="133"/>
      <c r="D27" s="293"/>
      <c r="E27" s="110">
        <v>694521.09550000122</v>
      </c>
      <c r="F27" s="110"/>
      <c r="G27" s="110"/>
      <c r="H27" s="110"/>
      <c r="I27" s="109"/>
      <c r="J27" s="293"/>
      <c r="K27" s="110">
        <v>703627.75855885749</v>
      </c>
      <c r="L27" s="110"/>
      <c r="M27" s="110"/>
      <c r="N27" s="110"/>
      <c r="O27" s="109"/>
      <c r="P27" s="293"/>
      <c r="Q27" s="110">
        <v>686327.18964114389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3104712</v>
      </c>
      <c r="E28" s="289"/>
      <c r="F28" s="289"/>
      <c r="G28" s="289"/>
      <c r="H28" s="289"/>
      <c r="I28" s="293"/>
      <c r="J28" s="109">
        <v>8353192.9999999991</v>
      </c>
      <c r="K28" s="289"/>
      <c r="L28" s="289"/>
      <c r="M28" s="289"/>
      <c r="N28" s="289"/>
      <c r="O28" s="293"/>
      <c r="P28" s="109">
        <v>7497855.0000000009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50747376.000000007</v>
      </c>
      <c r="AT28" s="113">
        <v>5911592.0000000009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21715</v>
      </c>
      <c r="K30" s="288"/>
      <c r="L30" s="288"/>
      <c r="M30" s="288"/>
      <c r="N30" s="288"/>
      <c r="O30" s="292"/>
      <c r="P30" s="109">
        <v>2759</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227852</v>
      </c>
      <c r="AU30" s="113"/>
      <c r="AV30" s="311"/>
      <c r="AW30" s="318"/>
    </row>
    <row r="31" spans="2:49" s="5" customFormat="1" ht="25.5" x14ac:dyDescent="0.2">
      <c r="B31" s="178" t="s">
        <v>84</v>
      </c>
      <c r="C31" s="133"/>
      <c r="D31" s="293"/>
      <c r="E31" s="110"/>
      <c r="F31" s="110"/>
      <c r="G31" s="110"/>
      <c r="H31" s="110"/>
      <c r="I31" s="109"/>
      <c r="J31" s="293"/>
      <c r="K31" s="110">
        <v>21714.809999999998</v>
      </c>
      <c r="L31" s="110"/>
      <c r="M31" s="110"/>
      <c r="N31" s="110"/>
      <c r="O31" s="109"/>
      <c r="P31" s="293"/>
      <c r="Q31" s="110">
        <v>-11719.489999999998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14478</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292491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4137444.9999999995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4137444.9999999995</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4943278</v>
      </c>
      <c r="E36" s="110">
        <v>4943278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1742324</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31132</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-9254497</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2443</v>
      </c>
      <c r="K43" s="289"/>
      <c r="L43" s="289"/>
      <c r="M43" s="289"/>
      <c r="N43" s="289"/>
      <c r="O43" s="293"/>
      <c r="P43" s="109">
        <v>1168120.0000000002</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-6571328</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50248</v>
      </c>
      <c r="E49" s="110">
        <v>199536.58999999997</v>
      </c>
      <c r="F49" s="110"/>
      <c r="G49" s="110"/>
      <c r="H49" s="110"/>
      <c r="I49" s="109"/>
      <c r="J49" s="109">
        <v>636594</v>
      </c>
      <c r="K49" s="110">
        <v>1226206.5738515365</v>
      </c>
      <c r="L49" s="110"/>
      <c r="M49" s="110"/>
      <c r="N49" s="110"/>
      <c r="O49" s="109"/>
      <c r="P49" s="109">
        <v>429702</v>
      </c>
      <c r="Q49" s="110">
        <v>1098131.346148463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6836967</v>
      </c>
      <c r="AT49" s="113">
        <v>2874</v>
      </c>
      <c r="AU49" s="113"/>
      <c r="AV49" s="311"/>
      <c r="AW49" s="318"/>
    </row>
    <row r="50" spans="2:49" x14ac:dyDescent="0.2">
      <c r="B50" s="176" t="s">
        <v>119</v>
      </c>
      <c r="C50" s="133" t="s">
        <v>34</v>
      </c>
      <c r="D50" s="109">
        <v>86056</v>
      </c>
      <c r="E50" s="289"/>
      <c r="F50" s="289"/>
      <c r="G50" s="289"/>
      <c r="H50" s="289"/>
      <c r="I50" s="293"/>
      <c r="J50" s="109">
        <v>202747</v>
      </c>
      <c r="K50" s="289"/>
      <c r="L50" s="289"/>
      <c r="M50" s="289"/>
      <c r="N50" s="289"/>
      <c r="O50" s="293"/>
      <c r="P50" s="109">
        <v>236926.00000000003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4436572</v>
      </c>
      <c r="AT50" s="113">
        <v>26.000000000000004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1227724</v>
      </c>
      <c r="L53" s="110"/>
      <c r="M53" s="110"/>
      <c r="N53" s="110"/>
      <c r="O53" s="109"/>
      <c r="P53" s="109"/>
      <c r="Q53" s="110">
        <v>-782677</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34239597</v>
      </c>
      <c r="E54" s="115">
        <f>E24+E27+E31+E35-E36+E39+E42+E45+E46-E49+E51+E52+E53</f>
        <v>34500075.396499999</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96548242</v>
      </c>
      <c r="K54" s="115">
        <f>K24+K27+K31+K35-K36+K39+K42+K45+K46-K49+K51+K52+K53</f>
        <v>88617463.244707346</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87194822</v>
      </c>
      <c r="Q54" s="115">
        <f>Q24+Q27+Q31+Q35-Q36+Q39+Q42+Q45+Q46-Q49+Q51+Q52+Q53</f>
        <v>79747077.703492701</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503602792</v>
      </c>
      <c r="AT54" s="116">
        <f>AT23+AT26-AT28+AT30-AT32+AT34-AT36+AT38+AT41-AT43+AT45+AT46-AT47-AT49+AT50+AT51+AT52+AT53</f>
        <v>29979954</v>
      </c>
      <c r="AU54" s="116">
        <f>AU23+AU26-AU28+AU30-AU32+AU34-AU36+AU38+AU41-AU43+AU45+AU46-AU47-AU49+AU50+AU51+AU52+AU53</f>
        <v>0</v>
      </c>
      <c r="AV54" s="311"/>
      <c r="AW54" s="318"/>
    </row>
    <row r="55" spans="2:49" ht="25.5" x14ac:dyDescent="0.2">
      <c r="B55" s="181" t="s">
        <v>304</v>
      </c>
      <c r="C55" s="137" t="s">
        <v>28</v>
      </c>
      <c r="D55" s="114">
        <f t="shared" ref="D55:AC55" si="0">MIN(MAX(0,D56),MAX(0,D57))</f>
        <v>27147</v>
      </c>
      <c r="E55" s="115">
        <f t="shared" si="0"/>
        <v>27147</v>
      </c>
      <c r="F55" s="115">
        <f t="shared" si="0"/>
        <v>0</v>
      </c>
      <c r="G55" s="115">
        <f t="shared" si="0"/>
        <v>0</v>
      </c>
      <c r="H55" s="115">
        <f t="shared" si="0"/>
        <v>0</v>
      </c>
      <c r="I55" s="114">
        <f t="shared" si="0"/>
        <v>0</v>
      </c>
      <c r="J55" s="114">
        <f t="shared" si="0"/>
        <v>120289</v>
      </c>
      <c r="K55" s="115">
        <f t="shared" si="0"/>
        <v>115997.35</v>
      </c>
      <c r="L55" s="115">
        <f t="shared" si="0"/>
        <v>0</v>
      </c>
      <c r="M55" s="115">
        <f t="shared" si="0"/>
        <v>0</v>
      </c>
      <c r="N55" s="115">
        <f t="shared" si="0"/>
        <v>0</v>
      </c>
      <c r="O55" s="114">
        <f t="shared" si="0"/>
        <v>0</v>
      </c>
      <c r="P55" s="114">
        <f t="shared" si="0"/>
        <v>129809</v>
      </c>
      <c r="Q55" s="115">
        <f t="shared" si="0"/>
        <v>110303.79000000001</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41244</v>
      </c>
      <c r="E56" s="110">
        <v>41243.83</v>
      </c>
      <c r="F56" s="110"/>
      <c r="G56" s="110"/>
      <c r="H56" s="110"/>
      <c r="I56" s="109"/>
      <c r="J56" s="109">
        <v>237298</v>
      </c>
      <c r="K56" s="110">
        <v>237133.13</v>
      </c>
      <c r="L56" s="110"/>
      <c r="M56" s="110"/>
      <c r="N56" s="110"/>
      <c r="O56" s="109"/>
      <c r="P56" s="109">
        <v>201071</v>
      </c>
      <c r="Q56" s="110">
        <v>200894.04</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27147</v>
      </c>
      <c r="E57" s="110">
        <v>27147</v>
      </c>
      <c r="F57" s="110"/>
      <c r="G57" s="110"/>
      <c r="H57" s="110"/>
      <c r="I57" s="109"/>
      <c r="J57" s="109">
        <v>120289</v>
      </c>
      <c r="K57" s="110">
        <v>115997.35</v>
      </c>
      <c r="L57" s="110"/>
      <c r="M57" s="110"/>
      <c r="N57" s="110"/>
      <c r="O57" s="109"/>
      <c r="P57" s="109">
        <v>129809</v>
      </c>
      <c r="Q57" s="110">
        <v>110303.79000000001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7283476</v>
      </c>
      <c r="AT57" s="113">
        <v>329805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24393118.09</v>
      </c>
      <c r="D5" s="118">
        <v>28333412.324200001</v>
      </c>
      <c r="E5" s="346"/>
      <c r="F5" s="346"/>
      <c r="G5" s="312"/>
      <c r="H5" s="117">
        <v>79151667.030000001</v>
      </c>
      <c r="I5" s="118">
        <v>82305099.971933633</v>
      </c>
      <c r="J5" s="346"/>
      <c r="K5" s="346"/>
      <c r="L5" s="312"/>
      <c r="M5" s="117">
        <v>82780361.680000007</v>
      </c>
      <c r="N5" s="118">
        <v>80116100.790166378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24446571.560000002</v>
      </c>
      <c r="D6" s="110">
        <v>28459662.135700002</v>
      </c>
      <c r="E6" s="115">
        <f>SUM('Pt 1 Summary of Data'!E$12,'Pt 1 Summary of Data'!E$22)+SUM('Pt 1 Summary of Data'!G$12,'Pt 1 Summary of Data'!G$22)-SUM('Pt 1 Summary of Data'!H$12,'Pt 1 Summary of Data'!H$22)</f>
        <v>34527222.396499999</v>
      </c>
      <c r="F6" s="115">
        <f t="shared" ref="F6:F11" si="0">SUM(C6:E6)</f>
        <v>87433456.092200011</v>
      </c>
      <c r="G6" s="116">
        <f>SUM('Pt 1 Summary of Data'!I$12,'Pt 1 Summary of Data'!I$22)</f>
        <v>0</v>
      </c>
      <c r="H6" s="109">
        <v>79547092.271763146</v>
      </c>
      <c r="I6" s="110">
        <v>82395828.578090295</v>
      </c>
      <c r="J6" s="115">
        <f>SUM('Pt 1 Summary of Data'!K$12,'Pt 1 Summary of Data'!K$22)+SUM('Pt 1 Summary of Data'!M$12,'Pt 1 Summary of Data'!M$22)-SUM('Pt 1 Summary of Data'!N$12,'Pt 1 Summary of Data'!N$22)</f>
        <v>88733460.59470734</v>
      </c>
      <c r="K6" s="115">
        <f>SUM(H6:J6)</f>
        <v>250676381.4445608</v>
      </c>
      <c r="L6" s="116">
        <f>SUM('Pt 1 Summary of Data'!O$12,'Pt 1 Summary of Data'!O$22)</f>
        <v>0</v>
      </c>
      <c r="M6" s="109">
        <v>81603579.958236903</v>
      </c>
      <c r="N6" s="110">
        <v>79961446.501709685</v>
      </c>
      <c r="O6" s="115">
        <f>SUM('Pt 1 Summary of Data'!Q$12,'Pt 1 Summary of Data'!Q$22)+SUM('Pt 1 Summary of Data'!S$12,'Pt 1 Summary of Data'!S$22)-SUM('Pt 1 Summary of Data'!T$12,'Pt 1 Summary of Data'!T$22)</f>
        <v>79857381.493492708</v>
      </c>
      <c r="P6" s="115">
        <f>SUM(M6:O6)</f>
        <v>241422407.9534393</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529340.28</v>
      </c>
      <c r="D7" s="110">
        <v>522812.05</v>
      </c>
      <c r="E7" s="115">
        <f>SUM('Pt 1 Summary of Data'!E$37:E$41)+SUM('Pt 1 Summary of Data'!G$37:G$41)-SUM('Pt 1 Summary of Data'!H$37:H$41)+MAX(0,MIN('Pt 1 Summary of Data'!E$42+'Pt 1 Summary of Data'!G$42-'Pt 1 Summary of Data'!H$42,0.3%*('Pt 1 Summary of Data'!E$5+'Pt 1 Summary of Data'!G$5-'Pt 1 Summary of Data'!H$5-SUM(E$9:E$11))))</f>
        <v>419101.76999999996</v>
      </c>
      <c r="F7" s="115">
        <f t="shared" si="0"/>
        <v>1471254.1</v>
      </c>
      <c r="G7" s="116">
        <f>SUM('Pt 1 Summary of Data'!I$37:I$41)+MAX(0,MIN('Pt 1 Summary of Data'!I$42,0.3%*('Pt 1 Summary of Data'!I$5-SUM(G$9:G$10))))</f>
        <v>0</v>
      </c>
      <c r="H7" s="109">
        <v>2378921.29</v>
      </c>
      <c r="I7" s="110">
        <v>2529812.7000000011</v>
      </c>
      <c r="J7" s="115">
        <f>SUM('Pt 1 Summary of Data'!K$37:K$41)+SUM('Pt 1 Summary of Data'!M$37:M$41)-SUM('Pt 1 Summary of Data'!N$37:N$41)+MAX(0,MIN('Pt 1 Summary of Data'!K$42+'Pt 1 Summary of Data'!M$42-'Pt 1 Summary of Data'!N$42,0.3%*('Pt 1 Summary of Data'!K$5+'Pt 1 Summary of Data'!M$5-'Pt 1 Summary of Data'!N$5-SUM(J$10:J$11))))</f>
        <v>2610772.2800000003</v>
      </c>
      <c r="K7" s="115">
        <f>SUM(H7:J7)</f>
        <v>7519506.2700000014</v>
      </c>
      <c r="L7" s="116">
        <f>SUM('Pt 1 Summary of Data'!O$37:O$41)+MAX(0,MIN('Pt 1 Summary of Data'!O$42,0.3%*('Pt 1 Summary of Data'!O$5-L$10)))</f>
        <v>0</v>
      </c>
      <c r="M7" s="109">
        <v>2231045</v>
      </c>
      <c r="N7" s="110">
        <v>2020413.5099999993</v>
      </c>
      <c r="O7" s="115">
        <f>SUM('Pt 1 Summary of Data'!Q$37:Q$41)+SUM('Pt 1 Summary of Data'!S$37:S$41)-SUM('Pt 1 Summary of Data'!T$37:T$41)+MAX(0,MIN('Pt 1 Summary of Data'!Q$42+'Pt 1 Summary of Data'!S$42-'Pt 1 Summary of Data'!T$42,0.3%*('Pt 1 Summary of Data'!Q$5+'Pt 1 Summary of Data'!S$5-'Pt 1 Summary of Data'!T$5)))</f>
        <v>2042768.6399999997</v>
      </c>
      <c r="P7" s="115">
        <f>SUM(M7:O7)</f>
        <v>6294227.1499999994</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3869243.8200000008</v>
      </c>
      <c r="F9" s="115">
        <f t="shared" si="0"/>
        <v>3869243.8200000008</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3660246.43</v>
      </c>
      <c r="F10" s="115">
        <f t="shared" si="0"/>
        <v>3660246.43</v>
      </c>
      <c r="G10" s="116">
        <f>'Pt 2 Premium and Claims'!I$16</f>
        <v>0</v>
      </c>
      <c r="H10" s="292"/>
      <c r="I10" s="288"/>
      <c r="J10" s="115">
        <f>'Pt 2 Premium and Claims'!K$16+'Pt 2 Premium and Claims'!M$16-'Pt 2 Premium and Claims'!N$16</f>
        <v>2267328.0699999998</v>
      </c>
      <c r="K10" s="115">
        <f>SUM(H10:J10)</f>
        <v>2267328.0699999998</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24975911.840000004</v>
      </c>
      <c r="D12" s="115">
        <f>SUM(D$6:D$7)+IF(AND(OR('Company Information'!$C$12="District of Columbia",'Company Information'!$C$12="Massachusetts",'Company Information'!$C$12="Vermont"),SUM($C$6:$F$11,$C$15:$F$16,$C$37:$D$37)&lt;&gt;0),SUM(I$6:I$7),0)</f>
        <v>28982474.185700003</v>
      </c>
      <c r="E12" s="115">
        <f>SUM(E$6:E$7)-SUM(E$8:E$11)+IF(AND(OR('Company Information'!$C$12="District of Columbia",'Company Information'!$C$12="Massachusetts",'Company Information'!$C$12="Vermont"),SUM($C$6:$F$11,$C$15:$F$16,$C$37:$D$37)&lt;&gt;0),SUM(J$6:J$7)-SUM(J$10:J$11),0)</f>
        <v>27416833.916500002</v>
      </c>
      <c r="F12" s="115">
        <f>IFERROR(SUM(C$12:E$12)+C$17*MAX(0,E$49-C$49)+D$17*MAX(0,E$49-D$49),0)</f>
        <v>81375219.942200005</v>
      </c>
      <c r="G12" s="311"/>
      <c r="H12" s="114">
        <f>SUM(H$6:H$7)+IF(AND(OR('Company Information'!$C$12="District of Columbia",'Company Information'!$C$12="Massachusetts",'Company Information'!$C$12="Vermont"),SUM($H$6:$K$11,$H$15:$K$16,$H$37:$I$37)&lt;&gt;0),SUM(C$6:C$7),0)</f>
        <v>81926013.561763152</v>
      </c>
      <c r="I12" s="115">
        <f>SUM(I$6:I$7)+IF(AND(OR('Company Information'!$C$12="District of Columbia",'Company Information'!$C$12="Massachusetts",'Company Information'!$C$12="Vermont"),SUM($H$6:$K$11,$H$15:$K$16,$H$37:$I$37)&lt;&gt;0),SUM(D$6:D$7),0)</f>
        <v>84925641.278090298</v>
      </c>
      <c r="J12" s="115">
        <f>SUM(J$6:J$7)-SUM(J$10:J$11)+IF(AND(OR('Company Information'!$C$12="District of Columbia",'Company Information'!$C$12="Massachusetts",'Company Information'!$C$12="Vermont"),SUM($H$6:$K$11,$H$15:$K$16,$H$37:$I$37)&lt;&gt;0),SUM(E$6:E$7)-SUM(E$8:E$11),0)</f>
        <v>89076904.804707348</v>
      </c>
      <c r="K12" s="115">
        <f>IFERROR(SUM(H$12:J$12)+H$17*MAX(0,J$49-H$49)+I$17*MAX(0,J$49-I$49),0)</f>
        <v>255928559.64456081</v>
      </c>
      <c r="L12" s="311"/>
      <c r="M12" s="114">
        <f>SUM(M$6:M$7)</f>
        <v>83834624.958236903</v>
      </c>
      <c r="N12" s="115">
        <f>SUM(N$6:N$7)</f>
        <v>81981860.01170969</v>
      </c>
      <c r="O12" s="115">
        <f>SUM(O$6:O$7)</f>
        <v>81900150.133492708</v>
      </c>
      <c r="P12" s="115">
        <f>SUM(M$12:O$12)+M$17*MAX(0,O$49-M$49)+N$17*MAX(0,O$49-N$49)</f>
        <v>247716635.1034393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29770070.609999999</v>
      </c>
      <c r="D15" s="118">
        <v>30478117.729805101</v>
      </c>
      <c r="E15" s="106">
        <f>SUM('Pt 1 Summary of Data'!E$5:E$7)+SUM('Pt 1 Summary of Data'!G$5:G$7)-SUM('Pt 1 Summary of Data'!H$5:H$7)-SUM(E$9:E$11)+D$55</f>
        <v>32234184.4801949</v>
      </c>
      <c r="F15" s="106">
        <f>SUM(C15:E15)</f>
        <v>92482372.819999993</v>
      </c>
      <c r="G15" s="107">
        <f>SUM('Pt 1 Summary of Data'!I$5:I$7)-SUM(G$9:G$10)</f>
        <v>0</v>
      </c>
      <c r="H15" s="117">
        <v>103177211.58000001</v>
      </c>
      <c r="I15" s="118">
        <v>112021355.43370461</v>
      </c>
      <c r="J15" s="106">
        <f>SUM('Pt 1 Summary of Data'!K$5:K$7)+SUM('Pt 1 Summary of Data'!M$5:M$7)-SUM('Pt 1 Summary of Data'!N$5:N$7)-SUM(J$10:J$11)+I$55</f>
        <v>115324094.16616014</v>
      </c>
      <c r="K15" s="106">
        <f>SUM(H15:J15)</f>
        <v>330522661.17986476</v>
      </c>
      <c r="L15" s="107">
        <f>SUM('Pt 1 Summary of Data'!O$5:O$7)-L$10</f>
        <v>0</v>
      </c>
      <c r="M15" s="117">
        <v>103691219.02000001</v>
      </c>
      <c r="N15" s="118">
        <v>98473950.943112224</v>
      </c>
      <c r="O15" s="106">
        <f>SUM('Pt 1 Summary of Data'!Q$5:Q$7)+SUM('Pt 1 Summary of Data'!S$5:S$7)-SUM('Pt 1 Summary of Data'!T$5:T$7)+N$55</f>
        <v>101841098.9346471</v>
      </c>
      <c r="P15" s="106">
        <f>SUM(M15:O15)</f>
        <v>304006268.89775932</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-1126966</v>
      </c>
      <c r="D16" s="110">
        <v>-2519962.3649357744</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446156.50864577416</v>
      </c>
      <c r="F16" s="115">
        <f>SUM(C16:E16)</f>
        <v>-3200771.85629</v>
      </c>
      <c r="G16" s="116">
        <f>SUM('Pt 1 Summary of Data'!I$25:I$28,'Pt 1 Summary of Data'!I$30,'Pt 1 Summary of Data'!I$34:I$35)+IF('Company Information'!$C$15="No",IF(MAX('Pt 1 Summary of Data'!I$31:I$32)=0,MIN('Pt 1 Summary of Data'!I$31:I$32),MAX('Pt 1 Summary of Data'!I$31:I$32)),SUM('Pt 1 Summary of Data'!I$31:I$32))</f>
        <v>0</v>
      </c>
      <c r="H16" s="109">
        <v>2945627.04</v>
      </c>
      <c r="I16" s="110">
        <v>5814099.8154102014</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5949372.6632643891</v>
      </c>
      <c r="K16" s="115">
        <f>SUM(H16:J16)</f>
        <v>14709099.51867459</v>
      </c>
      <c r="L16" s="116">
        <f>SUM('Pt 1 Summary of Data'!O$25:O$28,'Pt 1 Summary of Data'!O$30,'Pt 1 Summary of Data'!O$34:O$35)+IF('Company Information'!$C$15="No",IF(MAX('Pt 1 Summary of Data'!O$31:O$32)=0,MIN('Pt 1 Summary of Data'!O$31:O$32),MAX('Pt 1 Summary of Data'!O$31:O$32)),SUM('Pt 1 Summary of Data'!O$31:O$32))</f>
        <v>0</v>
      </c>
      <c r="M16" s="109">
        <v>2894992.73</v>
      </c>
      <c r="N16" s="110">
        <v>5064333.3872619737</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3635633.5581808561</v>
      </c>
      <c r="P16" s="115">
        <f>SUM(M16:O16)</f>
        <v>11594959.67544283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30897036.609999999</v>
      </c>
      <c r="D17" s="115">
        <f>D$15-D$16+IF(AND(OR('Company Information'!$C$12="District of Columbia",'Company Information'!$C$12="Massachusetts",'Company Information'!$C$12="Vermont"),SUM($C$6:$F$11,$C$15:$F$16,$C$37:$D$37)&lt;&gt;0),I$15-I$16,0)</f>
        <v>32998080.094740875</v>
      </c>
      <c r="E17" s="115">
        <f>E$15-E$16+IF(AND(OR('Company Information'!$C$12="District of Columbia",'Company Information'!$C$12="Massachusetts",'Company Information'!$C$12="Vermont"),SUM($C$6:$F$11,$C$15:$F$16,$C$37:$D$37)&lt;&gt;0),J$15-J$16,0)</f>
        <v>31788027.971549127</v>
      </c>
      <c r="F17" s="115">
        <f>F$15-F$16+IF(AND(OR('Company Information'!$C$12="District of Columbia",'Company Information'!$C$12="Massachusetts",'Company Information'!$C$12="Vermont"),SUM($C$6:$F$11,$C$15:$F$16,$C$37:$D$37)&lt;&gt;0),K$15-K$16,0)</f>
        <v>95683144.676289991</v>
      </c>
      <c r="G17" s="314"/>
      <c r="H17" s="114">
        <f>H$15-H$16+IF(AND(OR('Company Information'!$C$12="District of Columbia",'Company Information'!$C$12="Massachusetts",'Company Information'!$C$12="Vermont"),SUM($H$6:$K$11,$H$15:$K$16,$H$37:$I$37)&lt;&gt;0),C$15-C$16,0)</f>
        <v>100231584.54000001</v>
      </c>
      <c r="I17" s="115">
        <f>I$15-I$16+IF(AND(OR('Company Information'!$C$12="District of Columbia",'Company Information'!$C$12="Massachusetts",'Company Information'!$C$12="Vermont"),SUM($H$6:$K$11,$H$15:$K$16,$H$37:$I$37)&lt;&gt;0),D$15-D$16,0)</f>
        <v>106207255.61829442</v>
      </c>
      <c r="J17" s="115">
        <f>J$15-J$16+IF(AND(OR('Company Information'!$C$12="District of Columbia",'Company Information'!$C$12="Massachusetts",'Company Information'!$C$12="Vermont"),SUM($H$6:$K$11,$H$15:$K$16,$H$37:$I$37)&lt;&gt;0),E$15-E$16,0)</f>
        <v>109374721.50289574</v>
      </c>
      <c r="K17" s="115">
        <f>K$15-K$16+IF(AND(OR('Company Information'!$C$12="District of Columbia",'Company Information'!$C$12="Massachusetts",'Company Information'!$C$12="Vermont"),SUM($H$6:$K$11,$H$15:$K$16,$H$37:$I$37)&lt;&gt;0),F$15-F$16,0)</f>
        <v>315813561.66119015</v>
      </c>
      <c r="L17" s="314"/>
      <c r="M17" s="114">
        <f>M$15-M$16</f>
        <v>100796226.29000001</v>
      </c>
      <c r="N17" s="115">
        <f>N$15-N$16</f>
        <v>93409617.555850253</v>
      </c>
      <c r="O17" s="115">
        <f>O$15-O$16</f>
        <v>98205465.376466244</v>
      </c>
      <c r="P17" s="115">
        <f>P$15-P$16</f>
        <v>292411309.2223165</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12090.916666666666</v>
      </c>
      <c r="D37" s="122">
        <v>11090</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9865.5</v>
      </c>
      <c r="F37" s="256">
        <f>SUM(C$37:E$37)+IF(AND(OR('Company Information'!$C$12="District of Columbia",'Company Information'!$C$12="Massachusetts",'Company Information'!$C$12="Vermont"),SUM($C$6:$F$11,$C$15:$F$16,$C$37:$D$37)&lt;&gt;0,SUM(C$37:D$37)&lt;&gt;SUM(H$37:I$37)),SUM(H$37:I$37),0)</f>
        <v>33046.416666666664</v>
      </c>
      <c r="G37" s="312"/>
      <c r="H37" s="121">
        <v>25603.25</v>
      </c>
      <c r="I37" s="122">
        <v>26354</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25616.5</v>
      </c>
      <c r="K37" s="256">
        <f>SUM(H$37:J$37)+IF(AND(OR('Company Information'!$C$12="District of Columbia",'Company Information'!$C$12="Massachusetts",'Company Information'!$C$12="Vermont"),SUM($H$6:$K$11,$H$15:$K$16,$H$37:$I$37)&lt;&gt;0,SUM(H$37:I$37)&lt;&gt;SUM(C$37:D$37)),SUM(C$37:D$37),0)</f>
        <v>77573.75</v>
      </c>
      <c r="L37" s="312"/>
      <c r="M37" s="121">
        <v>22208.666666666668</v>
      </c>
      <c r="N37" s="122">
        <v>20088</v>
      </c>
      <c r="O37" s="256">
        <f>('Pt 1 Summary of Data'!Q$59+'Pt 1 Summary of Data'!S$59-'Pt 1 Summary of Data'!T$59)/12</f>
        <v>20222.75</v>
      </c>
      <c r="P37" s="256">
        <f>SUM(M$37:O$37)</f>
        <v>62519.416666666672</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1.4712573333333335E-2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5.9906799999999982E-3</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4475.4800350658898</v>
      </c>
      <c r="G39" s="311"/>
      <c r="H39" s="292"/>
      <c r="I39" s="288"/>
      <c r="J39" s="288"/>
      <c r="K39" s="110">
        <v>2961.9262550605986</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1.3520656993382727</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1.2079753794817689</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1.9892365752998957E-2</v>
      </c>
      <c r="G41" s="311"/>
      <c r="H41" s="292"/>
      <c r="I41" s="288"/>
      <c r="J41" s="288"/>
      <c r="K41" s="260">
        <f>IF(OR(K$37&lt;1000,K$37&gt;=75000),0,K$38*K$40)</f>
        <v>0</v>
      </c>
      <c r="L41" s="311"/>
      <c r="M41" s="292"/>
      <c r="N41" s="288"/>
      <c r="O41" s="288"/>
      <c r="P41" s="260">
        <f ca="1">IF(OR(P$37&lt;1000,P$37&gt;=75000),0,P$38*P$40)</f>
        <v>5.9906799999999982E-3</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0.80835946033466555</v>
      </c>
      <c r="D44" s="260">
        <f>IF(OR(D$37&lt;1000,D$17&lt;=0),"",D$12/D$17)</f>
        <v>0.87830789253460639</v>
      </c>
      <c r="E44" s="260">
        <f>IF(OR(E$37&lt;1000,E$17&lt;=0),"",E$12/E$17)</f>
        <v>0.86248929757575954</v>
      </c>
      <c r="F44" s="260">
        <f>IF(OR(F$37&lt;1000,F$17&lt;=0),"",F$12/F$17)</f>
        <v>0.85046556755115255</v>
      </c>
      <c r="G44" s="311"/>
      <c r="H44" s="262">
        <f>IF(OR(H$37&lt;1000,H$17&lt;=0),"",H$12/H$17)</f>
        <v>0.81736723945602652</v>
      </c>
      <c r="I44" s="260">
        <f>IF(OR(I$37&lt;1000,I$17&lt;=0),"",I$12/I$17)</f>
        <v>0.79962184112270462</v>
      </c>
      <c r="J44" s="260">
        <f>IF(OR(J$37&lt;1000,J$17&lt;=0),"",J$12/J$17)</f>
        <v>0.81441948908047279</v>
      </c>
      <c r="K44" s="260">
        <f>IF(OR(K$37&lt;1000,K$17&lt;=0),"",K$12/K$17)</f>
        <v>0.81037862433255814</v>
      </c>
      <c r="L44" s="311"/>
      <c r="M44" s="262">
        <f>IF(OR(M$37&lt;1000,M$17&lt;=0),"",M$12/M$17)</f>
        <v>0.83172384566300117</v>
      </c>
      <c r="N44" s="260">
        <f>IF(OR(N$37&lt;1000,N$17&lt;=0),"",N$12/N$17)</f>
        <v>0.87765973308575185</v>
      </c>
      <c r="O44" s="260">
        <f>IF(OR(O$37&lt;1000,O$17&lt;=0),"",O$12/O$17)</f>
        <v>0.83396733389055444</v>
      </c>
      <c r="P44" s="260">
        <f>IF(OR(P$37&lt;1000,P$17&lt;=0),"",P$12/P$17)</f>
        <v>0.847151349112505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1.9892365752998957E-2</v>
      </c>
      <c r="G46" s="311"/>
      <c r="H46" s="292"/>
      <c r="I46" s="288"/>
      <c r="J46" s="288"/>
      <c r="K46" s="260">
        <f>IF(K$44="","",K$41)</f>
        <v>0</v>
      </c>
      <c r="L46" s="311"/>
      <c r="M46" s="292"/>
      <c r="N46" s="288"/>
      <c r="O46" s="288"/>
      <c r="P46" s="260">
        <f ca="1">IF(P$44="","",P$41)</f>
        <v>5.9906799999999982E-3</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0.87</v>
      </c>
      <c r="G47" s="311"/>
      <c r="H47" s="292"/>
      <c r="I47" s="288"/>
      <c r="J47" s="288"/>
      <c r="K47" s="260">
        <f>IF(K$44="","",ROUND(K$44+MAX(0,K$46),3))</f>
        <v>0.81</v>
      </c>
      <c r="L47" s="311"/>
      <c r="M47" s="292"/>
      <c r="N47" s="288"/>
      <c r="O47" s="288"/>
      <c r="P47" s="260">
        <f ca="1">IF(P$44="","",ROUND(P$44+MAX(0,P$46),3))</f>
        <v>0.85299999999999998</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0</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0.87</v>
      </c>
      <c r="G50" s="311"/>
      <c r="H50" s="293"/>
      <c r="I50" s="289"/>
      <c r="J50" s="289"/>
      <c r="K50" s="260">
        <f>K$47</f>
        <v>0.81</v>
      </c>
      <c r="L50" s="311"/>
      <c r="M50" s="293"/>
      <c r="N50" s="289"/>
      <c r="O50" s="289"/>
      <c r="P50" s="260">
        <f ca="1">P$47</f>
        <v>0.85299999999999998</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31788027.971549127</v>
      </c>
      <c r="G51" s="311"/>
      <c r="H51" s="292"/>
      <c r="I51" s="288"/>
      <c r="J51" s="288"/>
      <c r="K51" s="115">
        <f>IF(K$37&lt;1000,"",MAX(0,J$15-J$16))</f>
        <v>109374721.50289574</v>
      </c>
      <c r="L51" s="311"/>
      <c r="M51" s="292"/>
      <c r="N51" s="288"/>
      <c r="O51" s="288"/>
      <c r="P51" s="115">
        <f>IF(P$37&lt;1000,"",MAX(0,O$15-O$16))</f>
        <v>98205465.376466244</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133891.09019490052</v>
      </c>
      <c r="E55" s="288"/>
      <c r="F55" s="288"/>
      <c r="G55" s="311"/>
      <c r="H55" s="292"/>
      <c r="I55" s="110">
        <v>407537.57397722267</v>
      </c>
      <c r="J55" s="288"/>
      <c r="K55" s="288"/>
      <c r="L55" s="311"/>
      <c r="M55" s="292"/>
      <c r="N55" s="110">
        <v>424767.17861366109</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-11024.635064225777</v>
      </c>
      <c r="E56" s="288"/>
      <c r="F56" s="288"/>
      <c r="G56" s="311"/>
      <c r="H56" s="292"/>
      <c r="I56" s="110">
        <v>21058.627952474468</v>
      </c>
      <c r="J56" s="288"/>
      <c r="K56" s="288"/>
      <c r="L56" s="311"/>
      <c r="M56" s="292"/>
      <c r="N56" s="110">
        <v>21762.635384773363</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5256</v>
      </c>
      <c r="D4" s="149">
        <f>'Pt 1 Summary of Data'!$K$56+'Pt 1 Summary of Data'!$M$56-'Pt 1 Summary of Data'!$N$56</f>
        <v>13684</v>
      </c>
      <c r="E4" s="149">
        <f>'Pt 1 Summary of Data'!$Q$56+'Pt 1 Summary of Data'!$S$56-'Pt 1 Summary of Data'!$T$56</f>
        <v>9206</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509</v>
      </c>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2015-07-23T00:35:07Z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