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T38" i="10" s="1"/>
  <c r="Q49" i="10"/>
  <c r="H11" i="16"/>
  <c r="E11" i="16"/>
  <c r="H4" i="16"/>
  <c r="G4" i="16"/>
  <c r="F4" i="16"/>
  <c r="E4" i="16"/>
  <c r="D4" i="16"/>
  <c r="C4" i="16"/>
  <c r="AB52" i="10"/>
  <c r="X52" i="10"/>
  <c r="G11" i="16" s="1"/>
  <c r="T52" i="10"/>
  <c r="F11" i="16" s="1"/>
  <c r="P52" i="10"/>
  <c r="AB51" i="10"/>
  <c r="X51" i="10"/>
  <c r="T51" i="10"/>
  <c r="P51" i="10"/>
  <c r="AB50" i="10"/>
  <c r="P50" i="10"/>
  <c r="AB47" i="10"/>
  <c r="P47" i="10"/>
  <c r="AB46" i="10"/>
  <c r="T46" i="10"/>
  <c r="P46" i="10"/>
  <c r="AB45" i="10"/>
  <c r="AA45" i="10"/>
  <c r="Z45" i="10"/>
  <c r="Y45" i="10"/>
  <c r="X45" i="10"/>
  <c r="X47" i="10" s="1"/>
  <c r="X50" i="10" s="1"/>
  <c r="W45" i="10"/>
  <c r="V45" i="10"/>
  <c r="U45" i="10"/>
  <c r="T45" i="10"/>
  <c r="T47" i="10" s="1"/>
  <c r="T50" i="10" s="1"/>
  <c r="S45" i="10"/>
  <c r="R45" i="10"/>
  <c r="Q45" i="10"/>
  <c r="P44" i="10"/>
  <c r="O44" i="10"/>
  <c r="N44" i="10"/>
  <c r="M44" i="10"/>
  <c r="AB41" i="10"/>
  <c r="X41" i="10"/>
  <c r="T41" i="10"/>
  <c r="P41" i="10"/>
  <c r="AB40" i="10"/>
  <c r="X40" i="10"/>
  <c r="T40" i="10"/>
  <c r="P40" i="10"/>
  <c r="K40" i="10"/>
  <c r="F40" i="10"/>
  <c r="AB38" i="10"/>
  <c r="X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T13" i="10" s="1"/>
  <c r="P17" i="10"/>
  <c r="O17" i="10"/>
  <c r="N17" i="10"/>
  <c r="M17" i="10"/>
  <c r="P12" i="10" s="1"/>
  <c r="AB16" i="10"/>
  <c r="AA16" i="10"/>
  <c r="X16" i="10"/>
  <c r="W16" i="10"/>
  <c r="W13" i="10" s="1"/>
  <c r="T16" i="10"/>
  <c r="S16" i="10"/>
  <c r="P16" i="10"/>
  <c r="O16" i="10"/>
  <c r="L16" i="10"/>
  <c r="K16" i="10"/>
  <c r="J16" i="10"/>
  <c r="G16" i="10"/>
  <c r="F16" i="10"/>
  <c r="E16" i="10"/>
  <c r="AB15" i="10"/>
  <c r="AA15" i="10"/>
  <c r="X15" i="10"/>
  <c r="W15" i="10"/>
  <c r="T15" i="10"/>
  <c r="S15" i="10"/>
  <c r="S13" i="10" s="1"/>
  <c r="P15" i="10"/>
  <c r="O15" i="10"/>
  <c r="L15" i="10"/>
  <c r="AB13" i="10"/>
  <c r="AA13" i="10"/>
  <c r="Z13" i="10"/>
  <c r="Y13" i="10"/>
  <c r="U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V22" i="4" s="1"/>
  <c r="U55" i="18"/>
  <c r="T55" i="18"/>
  <c r="S55" i="18"/>
  <c r="R55" i="18"/>
  <c r="Q55" i="18"/>
  <c r="P55" i="18"/>
  <c r="O55" i="18"/>
  <c r="N55" i="18"/>
  <c r="M55" i="18"/>
  <c r="L55" i="18"/>
  <c r="K55" i="18"/>
  <c r="J55" i="18"/>
  <c r="I55" i="18"/>
  <c r="H55" i="18"/>
  <c r="G55" i="18"/>
  <c r="F55" i="18"/>
  <c r="E55" i="18"/>
  <c r="D55" i="18"/>
  <c r="AU54" i="18"/>
  <c r="AT54" i="18"/>
  <c r="AS54" i="18"/>
  <c r="AC54" i="18"/>
  <c r="AB54" i="18"/>
  <c r="AB12" i="4" s="1"/>
  <c r="AA54" i="18"/>
  <c r="Z54" i="18"/>
  <c r="Y54" i="18"/>
  <c r="X54" i="18"/>
  <c r="W54" i="18"/>
  <c r="V54" i="18"/>
  <c r="U54" i="18"/>
  <c r="T54" i="18"/>
  <c r="S54" i="18"/>
  <c r="R54" i="18"/>
  <c r="Q54" i="18"/>
  <c r="P54" i="18"/>
  <c r="O54" i="18"/>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U22" i="4"/>
  <c r="T22" i="4"/>
  <c r="S22" i="4"/>
  <c r="R22" i="4"/>
  <c r="Q22" i="4"/>
  <c r="P22" i="4"/>
  <c r="O22" i="4"/>
  <c r="N22" i="4"/>
  <c r="M22" i="4"/>
  <c r="L22" i="4"/>
  <c r="K22" i="4"/>
  <c r="J22" i="4"/>
  <c r="I22" i="4"/>
  <c r="H22" i="4"/>
  <c r="G22" i="4"/>
  <c r="F22" i="4"/>
  <c r="E22" i="4"/>
  <c r="D22" i="4"/>
  <c r="AU12" i="4"/>
  <c r="AT12" i="4"/>
  <c r="AS12" i="4"/>
  <c r="AC12" i="4"/>
  <c r="AA12" i="4"/>
  <c r="Z12" i="4"/>
  <c r="Y12" i="4"/>
  <c r="X12" i="4"/>
  <c r="W12" i="4"/>
  <c r="V12" i="4"/>
  <c r="U12" i="4"/>
  <c r="T12" i="4"/>
  <c r="S12" i="4"/>
  <c r="R12" i="4"/>
  <c r="Q12" i="4"/>
  <c r="P12" i="4"/>
  <c r="O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E15" i="10" l="1"/>
  <c r="F15" i="10" s="1"/>
  <c r="J7" i="10"/>
  <c r="I12" i="10" s="1"/>
  <c r="K7" i="10"/>
  <c r="I17" i="10" s="1"/>
  <c r="K15" i="10"/>
  <c r="L23" i="10"/>
  <c r="L27" i="10" s="1"/>
  <c r="L31" i="10" s="1"/>
  <c r="L32" i="10" s="1"/>
  <c r="L33" i="10" s="1"/>
  <c r="J12" i="10"/>
  <c r="X46" i="10"/>
  <c r="X13" i="10"/>
  <c r="V13" i="10"/>
  <c r="Q13" i="10"/>
  <c r="R13" i="10"/>
  <c r="E7" i="10"/>
  <c r="G7" i="10"/>
  <c r="I44" i="10" l="1"/>
  <c r="L26" i="10"/>
  <c r="L30" i="10" s="1"/>
  <c r="F7" i="10"/>
  <c r="E37" i="10"/>
  <c r="E12" i="10"/>
  <c r="D17" i="10"/>
  <c r="D44" i="10" s="1"/>
  <c r="C12" i="10"/>
  <c r="C17" i="10"/>
  <c r="H17" i="10"/>
  <c r="F17" i="10"/>
  <c r="K17" i="10"/>
  <c r="J37" i="10"/>
  <c r="E17" i="10"/>
  <c r="J17" i="10"/>
  <c r="H12" i="10"/>
  <c r="D12" i="10"/>
  <c r="G28" i="10"/>
  <c r="G25" i="10"/>
  <c r="G29" i="10"/>
  <c r="G21" i="10"/>
  <c r="G19" i="10"/>
  <c r="G20" i="10"/>
  <c r="H44" i="10" l="1"/>
  <c r="K12" i="10"/>
  <c r="K37" i="10"/>
  <c r="J44" i="10"/>
  <c r="K38" i="10" s="1"/>
  <c r="C44" i="10"/>
  <c r="F12" i="10"/>
  <c r="E44" i="10"/>
  <c r="F37" i="10"/>
  <c r="G24" i="10"/>
  <c r="G23" i="10" s="1"/>
  <c r="G27" i="10"/>
  <c r="F38" i="10" l="1"/>
  <c r="F52" i="10"/>
  <c r="C11" i="16" s="1"/>
  <c r="F44" i="10"/>
  <c r="F41" i="10"/>
  <c r="F51" i="10"/>
  <c r="K51" i="10"/>
  <c r="K44" i="10"/>
  <c r="K41" i="10"/>
  <c r="K46" i="10" s="1"/>
  <c r="K47" i="10" s="1"/>
  <c r="K50" i="10" s="1"/>
  <c r="K52" i="10" s="1"/>
  <c r="D11" i="16" s="1"/>
  <c r="G31" i="10"/>
  <c r="G32" i="10" s="1"/>
  <c r="G33" i="10" s="1"/>
  <c r="G26" i="10"/>
  <c r="G30" i="10" s="1"/>
  <c r="F47" i="10" l="1"/>
  <c r="F50" i="10" s="1"/>
  <c r="F46" i="10"/>
</calcChain>
</file>

<file path=xl/sharedStrings.xml><?xml version="1.0" encoding="utf-8"?>
<sst xmlns="http://schemas.openxmlformats.org/spreadsheetml/2006/main" count="576" uniqueCount="515">
  <si>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</si>
  <si>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</si>
  <si>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</si>
  <si>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</si>
  <si>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</si>
  <si>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</si>
  <si>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</si>
  <si>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</si>
  <si>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</si>
  <si>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</si>
  <si>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</si>
  <si>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</si>
  <si>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</si>
  <si>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</si>
  <si>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</si>
  <si>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</si>
  <si>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</si>
  <si>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</si>
  <si>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</si>
  <si>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</si>
  <si>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</si>
  <si>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</si>
  <si>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</si>
  <si>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</si>
  <si>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</si>
  <si>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</si>
  <si>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</si>
  <si>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</si>
  <si>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</si>
  <si>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</si>
  <si>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</si>
  <si>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</si>
  <si>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</si>
  <si>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</si>
  <si>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</si>
  <si>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</si>
  <si>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</si>
  <si>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</si>
  <si>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</si>
  <si>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</si>
  <si>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</si>
  <si>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</si>
  <si>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</si>
  <si>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</si>
  <si>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</si>
  <si>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</si>
  <si>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</si>
  <si>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</si>
  <si>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</si>
  <si>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</si>
  <si>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</si>
  <si>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</si>
  <si>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</si>
  <si>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</si>
  <si>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</si>
  <si>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</si>
  <si>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</si>
  <si>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</si>
  <si>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</si>
  <si>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</si>
  <si>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</si>
  <si>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</si>
  <si>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</si>
  <si>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</si>
  <si>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</si>
  <si>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</si>
  <si>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</si>
  <si>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</si>
  <si>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</si>
  <si>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</si>
  <si>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</si>
  <si>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</si>
  <si>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</si>
  <si>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</si>
  <si>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</si>
  <si>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</si>
  <si>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</si>
  <si>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</si>
  <si>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</si>
  <si>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</si>
  <si>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</si>
  <si>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</si>
  <si>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</si>
  <si>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</si>
  <si>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</si>
  <si>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</si>
  <si>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</si>
  <si>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</si>
  <si>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</si>
  <si>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</si>
  <si>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</si>
  <si>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</si>
  <si>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</si>
  <si>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</si>
  <si>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</si>
  <si>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</si>
  <si>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</si>
  <si>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</si>
  <si>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</si>
  <si>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</si>
  <si>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</si>
  <si>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</si>
  <si>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</si>
  <si>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</si>
  <si>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</si>
  <si>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</si>
  <si>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</si>
  <si>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</si>
  <si>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</si>
  <si>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</si>
  <si>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</si>
  <si>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</si>
  <si>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</si>
  <si>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</si>
  <si>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</si>
  <si>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</si>
  <si>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</si>
  <si>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</si>
  <si>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</si>
  <si>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</si>
  <si>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</si>
  <si>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</si>
  <si>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</si>
  <si>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</si>
  <si>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</si>
  <si>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</si>
  <si>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</si>
  <si>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</si>
  <si>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</si>
  <si>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</si>
  <si>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</si>
  <si>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</si>
  <si>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</si>
  <si>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</si>
  <si>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</si>
  <si>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</si>
  <si>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</si>
  <si>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</si>
  <si>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</si>
  <si>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</si>
  <si>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</si>
  <si>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</si>
  <si>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</si>
  <si>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</si>
  <si>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</si>
  <si>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</si>
  <si>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</si>
  <si>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</si>
  <si>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</si>
  <si>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</si>
  <si>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</si>
  <si>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</si>
  <si>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</si>
  <si>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</si>
  <si>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</si>
  <si>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</si>
  <si>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</si>
  <si>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</si>
  <si>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</si>
  <si>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</si>
  <si>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</si>
  <si>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</si>
  <si>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</si>
  <si>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</si>
  <si>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</si>
  <si>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</si>
  <si>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</si>
  <si>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</si>
  <si>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</si>
  <si>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</si>
  <si>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</si>
  <si>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</si>
  <si>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</si>
  <si>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</si>
  <si>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</si>
  <si>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</si>
  <si>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</si>
  <si>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</si>
  <si>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</si>
  <si>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</si>
  <si>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</si>
  <si>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</si>
  <si>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</si>
  <si>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</si>
  <si>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</si>
  <si>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</si>
  <si>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</si>
  <si>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</si>
  <si>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</si>
  <si>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</si>
  <si>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</si>
  <si>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</si>
  <si>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</si>
  <si>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</si>
  <si>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</si>
  <si>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</si>
  <si>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</si>
  <si>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</si>
  <si>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</si>
  <si>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</si>
  <si>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</si>
  <si>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</si>
  <si>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</si>
  <si>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</si>
  <si>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</si>
  <si>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</si>
  <si>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</si>
  <si>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</si>
  <si>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</si>
  <si>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</si>
  <si>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</si>
  <si>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</si>
  <si>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</si>
  <si>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</si>
  <si>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</si>
  <si>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</si>
  <si>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</si>
  <si>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</si>
  <si>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</si>
  <si>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</si>
  <si>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</si>
  <si>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</si>
  <si>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</si>
  <si>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</si>
  <si>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</si>
  <si>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</si>
  <si>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</si>
  <si>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</si>
  <si>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</si>
  <si>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</si>
  <si>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</si>
  <si>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</si>
  <si>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</si>
  <si>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</si>
  <si>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</si>
  <si>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</si>
  <si>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</si>
  <si>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</si>
  <si>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</si>
  <si>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</si>
  <si>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</si>
  <si>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</si>
  <si>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</si>
  <si>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</si>
  <si>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</si>
  <si>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</si>
  <si>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</si>
  <si>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</si>
  <si>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</si>
  <si>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</si>
  <si>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</si>
  <si>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</si>
  <si>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</si>
  <si>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</si>
  <si>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</si>
  <si>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</si>
  <si>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</si>
  <si>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</si>
  <si>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</si>
  <si>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</si>
  <si>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</si>
  <si>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</si>
  <si>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</si>
  <si>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</si>
  <si>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</si>
  <si>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</si>
  <si>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</si>
  <si>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</si>
  <si>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</si>
  <si>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</si>
  <si>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</si>
  <si>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</si>
  <si>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</si>
  <si>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</si>
  <si>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</si>
  <si>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</si>
  <si>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</si>
  <si>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</si>
  <si>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</si>
  <si>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</si>
  <si>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</si>
  <si>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</si>
  <si>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</si>
  <si>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</si>
  <si>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</si>
  <si>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</si>
  <si>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</si>
  <si>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</si>
  <si>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</si>
  <si>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</si>
  <si>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</si>
  <si>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</si>
  <si>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</si>
  <si>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</si>
  <si>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</si>
  <si>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</si>
  <si>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</si>
  <si>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</si>
  <si>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</si>
  <si>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</si>
  <si>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</si>
  <si>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</si>
  <si>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</si>
  <si>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</si>
  <si>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</si>
  <si>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</si>
  <si>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</si>
  <si>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</si>
  <si>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</si>
  <si>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</si>
  <si>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</si>
  <si>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</si>
  <si>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</si>
  <si>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</si>
  <si>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</si>
  <si>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</si>
  <si>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</si>
  <si>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</si>
  <si>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</si>
  <si>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</si>
  <si>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</si>
  <si>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</si>
  <si>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</si>
  <si>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</si>
  <si>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</si>
  <si>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</si>
  <si>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</si>
  <si>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</si>
  <si>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</si>
  <si>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</si>
  <si>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</si>
  <si>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</si>
  <si>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</si>
  <si>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</si>
  <si>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</si>
  <si>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</si>
  <si>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</si>
  <si>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</si>
  <si>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</si>
  <si>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</si>
  <si>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</si>
  <si>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</si>
  <si>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</si>
  <si>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</si>
  <si>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</si>
  <si>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</si>
  <si>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</si>
  <si>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</si>
  <si>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</si>
  <si>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</si>
  <si>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</si>
  <si>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</si>
  <si>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</si>
  <si>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</si>
  <si>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</si>
  <si>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</si>
  <si>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</si>
  <si>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</si>
  <si>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</si>
  <si>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</si>
  <si>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</si>
  <si>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</si>
  <si>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</si>
  <si>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</si>
  <si>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</si>
  <si>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</si>
  <si>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</si>
  <si>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</si>
  <si>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</si>
  <si>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</si>
  <si>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</si>
  <si>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</si>
  <si>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</si>
  <si>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</si>
  <si>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</si>
  <si>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</si>
  <si>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</si>
  <si>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</si>
  <si>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</si>
  <si>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</si>
  <si>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</si>
  <si>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</si>
  <si>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</si>
  <si>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</si>
  <si>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</si>
  <si>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</si>
  <si>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</si>
  <si>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</si>
  <si>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</si>
  <si>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</si>
  <si>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</si>
  <si>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</si>
  <si>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</si>
  <si>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</si>
  <si>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</si>
  <si>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</si>
  <si>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</si>
  <si>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</si>
  <si>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</si>
  <si>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</si>
  <si>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</si>
  <si>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</si>
  <si>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</si>
  <si>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</si>
  <si>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</si>
  <si>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</si>
  <si>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</si>
  <si>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</si>
  <si>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</si>
  <si>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</si>
  <si>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</si>
  <si>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</si>
  <si>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</si>
  <si>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</si>
  <si>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</si>
  <si>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</si>
  <si>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</si>
  <si>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</si>
  <si>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</si>
  <si>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</si>
  <si>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</si>
  <si>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</si>
  <si>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</si>
  <si>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</si>
  <si>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</si>
  <si>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</si>
  <si>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</si>
  <si>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</si>
  <si>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</si>
  <si>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</si>
  <si>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</si>
  <si>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</si>
  <si>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</si>
  <si>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</si>
  <si>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</si>
  <si>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</si>
  <si>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</si>
  <si>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</si>
  <si>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</si>
  <si>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</si>
  <si>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</si>
  <si>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</si>
  <si>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</si>
  <si>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</si>
  <si>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</si>
  <si>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</si>
  <si>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</si>
  <si>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</si>
  <si>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</si>
  <si>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</si>
  <si>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</si>
  <si>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</si>
  <si>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</si>
  <si>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</si>
  <si>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</si>
  <si>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</si>
  <si>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</si>
  <si>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</si>
  <si>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</si>
  <si>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</si>
  <si>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</si>
  <si>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</si>
  <si>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</si>
  <si>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</si>
  <si>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</si>
  <si>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</si>
  <si>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</si>
  <si>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</si>
  <si>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</si>
  <si>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</si>
  <si>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</si>
  <si>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</si>
  <si>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</si>
  <si>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</si>
  <si>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</si>
  <si>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</si>
  <si>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</si>
  <si>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</si>
  <si>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</si>
  <si>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</si>
  <si>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</si>
  <si>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</si>
  <si>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</si>
  <si>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</si>
  <si>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</si>
  <si>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</si>
  <si>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</si>
  <si>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</si>
  <si>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</si>
  <si>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</si>
  <si>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</si>
  <si>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</si>
  <si>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</si>
  <si>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</si>
  <si>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of Puerto Rico, Inc.</t>
  </si>
  <si>
    <t>HUMANA GRP</t>
  </si>
  <si>
    <t>Humana</t>
  </si>
  <si>
    <t>119</t>
  </si>
  <si>
    <t>2014</t>
  </si>
  <si>
    <t>383 FD Roosevelt Ave San Juan, PR 00918-2131</t>
  </si>
  <si>
    <t>660291866</t>
  </si>
  <si>
    <t>084603</t>
  </si>
  <si>
    <t>84603</t>
  </si>
  <si>
    <t>19728</t>
  </si>
  <si>
    <t>491</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</si>
  <si>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</si>
  <si>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</si>
  <si>
    <t>Humana Insurance Company</t>
  </si>
  <si>
    <t>Humana Health Plan of Ohio, Inc.</t>
  </si>
  <si>
    <t>Humana Employers Health Plan of Georgia, Inc.</t>
  </si>
  <si>
    <t>Humana Medical Plan, Inc.</t>
  </si>
  <si>
    <t>Humana Health Insurance Company of Florida, Inc.</t>
  </si>
  <si>
    <t>Humana Health Plan, Inc.</t>
  </si>
  <si>
    <t>Humana Health Plan of Texas, Inc.</t>
  </si>
  <si>
    <t>Humana Health Benefit Plan of Louisiana,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</si>
</sst>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181</v>
      </c>
    </row>
    <row r="13" spans="1:6" x14ac:dyDescent="0.2">
      <c r="B13" s="232" t="s">
        <v>50</v>
      </c>
      <c r="C13" s="378" t="s">
        <v>181</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39728</v>
      </c>
      <c r="E5" s="106">
        <f>SUM('Pt 2 Premium and Claims'!E$5,'Pt 2 Premium and Claims'!E$6,-'Pt 2 Premium and Claims'!E$7,-'Pt 2 Premium and Claims'!E$13,'Pt 2 Premium and Claims'!E$14:'Pt 2 Premium and Claims'!E$17)</f>
        <v>39728.410000000003</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20816758</v>
      </c>
      <c r="K5" s="106">
        <f>SUM('Pt 2 Premium and Claims'!K$5,'Pt 2 Premium and Claims'!K$6,-'Pt 2 Premium and Claims'!K$7,-'Pt 2 Premium and Claims'!K$13,'Pt 2 Premium and Claims'!K$14,'Pt 2 Premium and Claims'!K$16:'Pt 2 Premium and Claims'!K$17)</f>
        <v>19052582.237280399</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52102743</v>
      </c>
      <c r="Q5" s="106">
        <f>SUM('Pt 2 Premium and Claims'!Q$5,'Pt 2 Premium and Claims'!Q$6,-'Pt 2 Premium and Claims'!Q$7,-'Pt 2 Premium and Claims'!Q$13,'Pt 2 Premium and Claims'!Q$14)</f>
        <v>53825389.506540999</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20937317</v>
      </c>
      <c r="AT5" s="107">
        <f>SUM('Pt 2 Premium and Claims'!AT$5,'Pt 2 Premium and Claims'!AT$6,-'Pt 2 Premium and Claims'!AT$7,-'Pt 2 Premium and Claims'!AT$13,'Pt 2 Premium and Claims'!AT$14)</f>
        <v>2871498</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-789</v>
      </c>
      <c r="E8" s="289"/>
      <c r="F8" s="290"/>
      <c r="G8" s="290"/>
      <c r="H8" s="290"/>
      <c r="I8" s="293"/>
      <c r="J8" s="109">
        <v>-97625</v>
      </c>
      <c r="K8" s="289"/>
      <c r="L8" s="290"/>
      <c r="M8" s="290"/>
      <c r="N8" s="290"/>
      <c r="O8" s="293"/>
      <c r="P8" s="109">
        <v>-269405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19317</v>
      </c>
      <c r="E12" s="106">
        <f>'Pt 2 Premium and Claims'!E$54</f>
        <v>26508.159999999996</v>
      </c>
      <c r="F12" s="106">
        <f>'Pt 2 Premium and Claims'!F$54</f>
        <v>0</v>
      </c>
      <c r="G12" s="106">
        <f>'Pt 2 Premium and Claims'!G$54</f>
        <v>0</v>
      </c>
      <c r="H12" s="106">
        <f>'Pt 2 Premium and Claims'!H$54</f>
        <v>0</v>
      </c>
      <c r="I12" s="105">
        <f>'Pt 2 Premium and Claims'!I$54</f>
        <v>0</v>
      </c>
      <c r="J12" s="105">
        <f>'Pt 2 Premium and Claims'!J$54</f>
        <v>14775272</v>
      </c>
      <c r="K12" s="106">
        <f>'Pt 2 Premium and Claims'!K$54</f>
        <v>13503735.286007196</v>
      </c>
      <c r="L12" s="106">
        <f>'Pt 2 Premium and Claims'!L$54</f>
        <v>0</v>
      </c>
      <c r="M12" s="106">
        <f>'Pt 2 Premium and Claims'!M$54</f>
        <v>0</v>
      </c>
      <c r="N12" s="106">
        <f>'Pt 2 Premium and Claims'!N$54</f>
        <v>0</v>
      </c>
      <c r="O12" s="105">
        <f>'Pt 2 Premium and Claims'!O$54</f>
        <v>0</v>
      </c>
      <c r="P12" s="105">
        <f>'Pt 2 Premium and Claims'!P$54</f>
        <v>46892983</v>
      </c>
      <c r="Q12" s="106">
        <f>'Pt 2 Premium and Claims'!Q$54</f>
        <v>45042100.238992818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19426940</v>
      </c>
      <c r="AT12" s="107">
        <f>'Pt 2 Premium and Claims'!AT$54</f>
        <v>2150273</v>
      </c>
      <c r="AU12" s="107">
        <f>'Pt 2 Premium and Claims'!AU$54</f>
        <v>0</v>
      </c>
      <c r="AV12" s="312"/>
      <c r="AW12" s="317"/>
    </row>
    <row r="13" spans="1:49" ht="25.5" x14ac:dyDescent="0.2">
      <c r="B13" s="155" t="s">
        <v>230</v>
      </c>
      <c r="C13" s="62" t="s">
        <v>37</v>
      </c>
      <c r="D13" s="109">
        <v>4411</v>
      </c>
      <c r="E13" s="110">
        <v>4327.58</v>
      </c>
      <c r="F13" s="110"/>
      <c r="G13" s="289"/>
      <c r="H13" s="290"/>
      <c r="I13" s="109"/>
      <c r="J13" s="109">
        <v>3642626</v>
      </c>
      <c r="K13" s="110">
        <v>3672259.5179329384</v>
      </c>
      <c r="L13" s="110"/>
      <c r="M13" s="289"/>
      <c r="N13" s="290"/>
      <c r="O13" s="109"/>
      <c r="P13" s="109">
        <v>12433024</v>
      </c>
      <c r="Q13" s="110">
        <v>12372654.022067055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3720525</v>
      </c>
      <c r="AT13" s="113">
        <v>33515</v>
      </c>
      <c r="AU13" s="113"/>
      <c r="AV13" s="311"/>
      <c r="AW13" s="318"/>
    </row>
    <row r="14" spans="1:49" ht="25.5" x14ac:dyDescent="0.2">
      <c r="B14" s="155" t="s">
        <v>231</v>
      </c>
      <c r="C14" s="62" t="s">
        <v>6</v>
      </c>
      <c r="D14" s="109">
        <v>398</v>
      </c>
      <c r="E14" s="110">
        <v>307.39999999999998</v>
      </c>
      <c r="F14" s="110"/>
      <c r="G14" s="288"/>
      <c r="H14" s="291"/>
      <c r="I14" s="109"/>
      <c r="J14" s="109">
        <v>220549</v>
      </c>
      <c r="K14" s="110">
        <v>206557.98782680498</v>
      </c>
      <c r="L14" s="110"/>
      <c r="M14" s="288"/>
      <c r="N14" s="291"/>
      <c r="O14" s="109"/>
      <c r="P14" s="109">
        <v>648448</v>
      </c>
      <c r="Q14" s="110">
        <v>604932.5421731947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906850</v>
      </c>
      <c r="AT14" s="113">
        <v>3703</v>
      </c>
      <c r="AU14" s="113"/>
      <c r="AV14" s="311"/>
      <c r="AW14" s="318"/>
    </row>
    <row r="15" spans="1:49" ht="38.25" x14ac:dyDescent="0.2">
      <c r="B15" s="155" t="s">
        <v>232</v>
      </c>
      <c r="C15" s="62" t="s">
        <v>7</v>
      </c>
      <c r="D15" s="109">
        <v>329</v>
      </c>
      <c r="E15" s="110">
        <v>329</v>
      </c>
      <c r="F15" s="110"/>
      <c r="G15" s="288"/>
      <c r="H15" s="294"/>
      <c r="I15" s="109"/>
      <c r="J15" s="109">
        <v>923</v>
      </c>
      <c r="K15" s="110">
        <v>923</v>
      </c>
      <c r="L15" s="110"/>
      <c r="M15" s="288"/>
      <c r="N15" s="294"/>
      <c r="O15" s="109"/>
      <c r="P15" s="109">
        <v>1251</v>
      </c>
      <c r="Q15" s="110">
        <v>1251</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388</v>
      </c>
      <c r="AT15" s="113">
        <v>52</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-7424</v>
      </c>
      <c r="E17" s="288"/>
      <c r="F17" s="291"/>
      <c r="G17" s="291"/>
      <c r="H17" s="291"/>
      <c r="I17" s="292"/>
      <c r="J17" s="109">
        <v>-1183485</v>
      </c>
      <c r="K17" s="288"/>
      <c r="L17" s="291"/>
      <c r="M17" s="291"/>
      <c r="N17" s="291"/>
      <c r="O17" s="292"/>
      <c r="P17" s="109">
        <v>-94867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180000</v>
      </c>
      <c r="AU17" s="113"/>
      <c r="AV17" s="311"/>
      <c r="AW17" s="318"/>
    </row>
    <row r="18" spans="1:49" x14ac:dyDescent="0.2">
      <c r="B18" s="155" t="s">
        <v>235</v>
      </c>
      <c r="C18" s="62" t="s">
        <v>63</v>
      </c>
      <c r="D18" s="109">
        <v>10481</v>
      </c>
      <c r="E18" s="288"/>
      <c r="F18" s="291"/>
      <c r="G18" s="291"/>
      <c r="H18" s="294"/>
      <c r="I18" s="292"/>
      <c r="J18" s="109">
        <v>1091405</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3058.0000000000005</v>
      </c>
      <c r="E19" s="288"/>
      <c r="F19" s="291"/>
      <c r="G19" s="291"/>
      <c r="H19" s="291"/>
      <c r="I19" s="292"/>
      <c r="J19" s="109">
        <v>1152426</v>
      </c>
      <c r="K19" s="288"/>
      <c r="L19" s="291"/>
      <c r="M19" s="291"/>
      <c r="N19" s="291"/>
      <c r="O19" s="292"/>
      <c r="P19" s="109">
        <v>8588.0000000000018</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1809672</v>
      </c>
      <c r="K20" s="288"/>
      <c r="L20" s="291"/>
      <c r="M20" s="291"/>
      <c r="N20" s="291"/>
      <c r="O20" s="292"/>
      <c r="P20" s="109">
        <v>1791289</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88.38</v>
      </c>
      <c r="F26" s="110"/>
      <c r="G26" s="110"/>
      <c r="H26" s="110"/>
      <c r="I26" s="109"/>
      <c r="J26" s="109"/>
      <c r="K26" s="110">
        <v>21026.33</v>
      </c>
      <c r="L26" s="110"/>
      <c r="M26" s="110"/>
      <c r="N26" s="110"/>
      <c r="O26" s="109"/>
      <c r="P26" s="109"/>
      <c r="Q26" s="110">
        <v>62970.619999999995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493.11</v>
      </c>
      <c r="E27" s="110">
        <v>493.11</v>
      </c>
      <c r="F27" s="110"/>
      <c r="G27" s="110"/>
      <c r="H27" s="110"/>
      <c r="I27" s="109"/>
      <c r="J27" s="109">
        <v>225820.64</v>
      </c>
      <c r="K27" s="110">
        <v>225820.64</v>
      </c>
      <c r="L27" s="110"/>
      <c r="M27" s="110"/>
      <c r="N27" s="110"/>
      <c r="O27" s="109"/>
      <c r="P27" s="109">
        <v>630267.52999999991</v>
      </c>
      <c r="Q27" s="110">
        <v>630267.52999999991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260350.65000000002</v>
      </c>
      <c r="AT27" s="113">
        <v>33849.25</v>
      </c>
      <c r="AU27" s="113"/>
      <c r="AV27" s="314"/>
      <c r="AW27" s="318"/>
    </row>
    <row r="28" spans="1:49" s="5" customFormat="1" x14ac:dyDescent="0.2">
      <c r="A28" s="35"/>
      <c r="B28" s="158" t="s">
        <v>245</v>
      </c>
      <c r="C28" s="62"/>
      <c r="D28" s="109">
        <v>79.36999999999999</v>
      </c>
      <c r="E28" s="110">
        <v>-309.69</v>
      </c>
      <c r="F28" s="110"/>
      <c r="G28" s="110"/>
      <c r="H28" s="110"/>
      <c r="I28" s="109"/>
      <c r="J28" s="109">
        <v>24936.13</v>
      </c>
      <c r="K28" s="110">
        <v>76062.63</v>
      </c>
      <c r="L28" s="110"/>
      <c r="M28" s="110"/>
      <c r="N28" s="110"/>
      <c r="O28" s="109"/>
      <c r="P28" s="109">
        <v>72181.919999999998</v>
      </c>
      <c r="Q28" s="110">
        <v>229086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-1324.81</v>
      </c>
      <c r="AT28" s="113">
        <v>-96.720000000000027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-11.96</v>
      </c>
      <c r="E30" s="110">
        <v>-252.9598</v>
      </c>
      <c r="F30" s="110"/>
      <c r="G30" s="110"/>
      <c r="H30" s="110"/>
      <c r="I30" s="109"/>
      <c r="J30" s="109">
        <v>3337.0699999999997</v>
      </c>
      <c r="K30" s="110">
        <v>-10709.748</v>
      </c>
      <c r="L30" s="110"/>
      <c r="M30" s="110"/>
      <c r="N30" s="110"/>
      <c r="O30" s="109"/>
      <c r="P30" s="109">
        <v>10054.709999999999</v>
      </c>
      <c r="Q30" s="110">
        <v>33186.438000000002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-1623.2000000000003</v>
      </c>
      <c r="AT30" s="113">
        <v>-134.56000000000006</v>
      </c>
      <c r="AU30" s="113"/>
      <c r="AV30" s="113"/>
      <c r="AW30" s="318"/>
    </row>
    <row r="31" spans="1:49" x14ac:dyDescent="0.2">
      <c r="B31" s="158" t="s">
        <v>248</v>
      </c>
      <c r="C31" s="62"/>
      <c r="D31" s="109">
        <v>606.9097999999999</v>
      </c>
      <c r="E31" s="110">
        <v>606.9097999999999</v>
      </c>
      <c r="F31" s="110"/>
      <c r="G31" s="110"/>
      <c r="H31" s="110"/>
      <c r="I31" s="109"/>
      <c r="J31" s="109">
        <v>203599.68799999999</v>
      </c>
      <c r="K31" s="110">
        <v>203599.68799999999</v>
      </c>
      <c r="L31" s="110"/>
      <c r="M31" s="110"/>
      <c r="N31" s="110"/>
      <c r="O31" s="109"/>
      <c r="P31" s="109">
        <v>537399.07199999993</v>
      </c>
      <c r="Q31" s="110">
        <v>537399.07199999993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28966.86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-83.93</v>
      </c>
      <c r="E35" s="110">
        <v>-83.93</v>
      </c>
      <c r="F35" s="110"/>
      <c r="G35" s="110"/>
      <c r="H35" s="110"/>
      <c r="I35" s="109"/>
      <c r="J35" s="109">
        <v>20616.96</v>
      </c>
      <c r="K35" s="110">
        <v>22326.66</v>
      </c>
      <c r="L35" s="110"/>
      <c r="M35" s="110"/>
      <c r="N35" s="110"/>
      <c r="O35" s="109"/>
      <c r="P35" s="109">
        <v>62024.159999999996</v>
      </c>
      <c r="Q35" s="110">
        <v>64609.42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-11984.930000000004</v>
      </c>
      <c r="AT35" s="113">
        <v>-843.82000000000062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11766</v>
      </c>
      <c r="E37" s="118">
        <v>11765.61</v>
      </c>
      <c r="F37" s="118"/>
      <c r="G37" s="118"/>
      <c r="H37" s="118"/>
      <c r="I37" s="117"/>
      <c r="J37" s="117">
        <v>158568</v>
      </c>
      <c r="K37" s="118">
        <v>158567.51999999999</v>
      </c>
      <c r="L37" s="118"/>
      <c r="M37" s="118"/>
      <c r="N37" s="118"/>
      <c r="O37" s="117"/>
      <c r="P37" s="117">
        <v>478977</v>
      </c>
      <c r="Q37" s="118">
        <v>478974.34000000008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198432</v>
      </c>
      <c r="AT37" s="119">
        <v>17729</v>
      </c>
      <c r="AU37" s="119"/>
      <c r="AV37" s="119"/>
      <c r="AW37" s="317"/>
    </row>
    <row r="38" spans="1:49" x14ac:dyDescent="0.2">
      <c r="B38" s="155" t="s">
        <v>255</v>
      </c>
      <c r="C38" s="62" t="s">
        <v>16</v>
      </c>
      <c r="D38" s="109">
        <v>3130</v>
      </c>
      <c r="E38" s="110">
        <v>3130.37</v>
      </c>
      <c r="F38" s="110"/>
      <c r="G38" s="110"/>
      <c r="H38" s="110"/>
      <c r="I38" s="109"/>
      <c r="J38" s="109">
        <v>41214</v>
      </c>
      <c r="K38" s="110">
        <v>41213.67</v>
      </c>
      <c r="L38" s="110"/>
      <c r="M38" s="110"/>
      <c r="N38" s="110"/>
      <c r="O38" s="109"/>
      <c r="P38" s="109">
        <v>124337</v>
      </c>
      <c r="Q38" s="110">
        <v>124336.14000000001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51511</v>
      </c>
      <c r="AT38" s="113">
        <v>5509</v>
      </c>
      <c r="AU38" s="113"/>
      <c r="AV38" s="113"/>
      <c r="AW38" s="318"/>
    </row>
    <row r="39" spans="1:49" x14ac:dyDescent="0.2">
      <c r="B39" s="158" t="s">
        <v>256</v>
      </c>
      <c r="C39" s="62" t="s">
        <v>17</v>
      </c>
      <c r="D39" s="109">
        <v>5320</v>
      </c>
      <c r="E39" s="110">
        <v>5319.57</v>
      </c>
      <c r="F39" s="110"/>
      <c r="G39" s="110"/>
      <c r="H39" s="110"/>
      <c r="I39" s="109"/>
      <c r="J39" s="109">
        <v>72363</v>
      </c>
      <c r="K39" s="110">
        <v>72362.960000000006</v>
      </c>
      <c r="L39" s="110"/>
      <c r="M39" s="110"/>
      <c r="N39" s="110"/>
      <c r="O39" s="109"/>
      <c r="P39" s="109">
        <v>219741</v>
      </c>
      <c r="Q39" s="110">
        <v>219739.29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91035</v>
      </c>
      <c r="AT39" s="113">
        <v>8068</v>
      </c>
      <c r="AU39" s="113"/>
      <c r="AV39" s="113"/>
      <c r="AW39" s="318"/>
    </row>
    <row r="40" spans="1:49" x14ac:dyDescent="0.2">
      <c r="B40" s="158" t="s">
        <v>257</v>
      </c>
      <c r="C40" s="62" t="s">
        <v>38</v>
      </c>
      <c r="D40" s="109">
        <v>7459</v>
      </c>
      <c r="E40" s="110">
        <v>7459.0400000000009</v>
      </c>
      <c r="F40" s="110"/>
      <c r="G40" s="110"/>
      <c r="H40" s="110"/>
      <c r="I40" s="109"/>
      <c r="J40" s="109">
        <v>124807</v>
      </c>
      <c r="K40" s="110">
        <v>124806.58999999998</v>
      </c>
      <c r="L40" s="110"/>
      <c r="M40" s="110"/>
      <c r="N40" s="110"/>
      <c r="O40" s="109"/>
      <c r="P40" s="109">
        <v>385685</v>
      </c>
      <c r="Q40" s="110">
        <v>385682.83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159782</v>
      </c>
      <c r="AT40" s="113">
        <v>76</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7289</v>
      </c>
      <c r="E44" s="118">
        <v>7289</v>
      </c>
      <c r="F44" s="118"/>
      <c r="G44" s="118"/>
      <c r="H44" s="118"/>
      <c r="I44" s="117"/>
      <c r="J44" s="117">
        <v>129758</v>
      </c>
      <c r="K44" s="118">
        <v>129758</v>
      </c>
      <c r="L44" s="118"/>
      <c r="M44" s="118"/>
      <c r="N44" s="118"/>
      <c r="O44" s="117"/>
      <c r="P44" s="117">
        <v>393143</v>
      </c>
      <c r="Q44" s="118">
        <v>393143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162872</v>
      </c>
      <c r="AT44" s="119">
        <v>21890</v>
      </c>
      <c r="AU44" s="119"/>
      <c r="AV44" s="119"/>
      <c r="AW44" s="317"/>
    </row>
    <row r="45" spans="1:49" x14ac:dyDescent="0.2">
      <c r="B45" s="161" t="s">
        <v>262</v>
      </c>
      <c r="C45" s="62" t="s">
        <v>19</v>
      </c>
      <c r="D45" s="109">
        <v>2129</v>
      </c>
      <c r="E45" s="110">
        <v>2129</v>
      </c>
      <c r="F45" s="110"/>
      <c r="G45" s="110"/>
      <c r="H45" s="110"/>
      <c r="I45" s="109"/>
      <c r="J45" s="109">
        <v>87026</v>
      </c>
      <c r="K45" s="110">
        <v>87026</v>
      </c>
      <c r="L45" s="110"/>
      <c r="M45" s="110"/>
      <c r="N45" s="110"/>
      <c r="O45" s="109"/>
      <c r="P45" s="109">
        <v>259254</v>
      </c>
      <c r="Q45" s="110">
        <v>259254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43285</v>
      </c>
      <c r="AT45" s="113">
        <v>21570</v>
      </c>
      <c r="AU45" s="113"/>
      <c r="AV45" s="113"/>
      <c r="AW45" s="318"/>
    </row>
    <row r="46" spans="1:49" x14ac:dyDescent="0.2">
      <c r="B46" s="161" t="s">
        <v>263</v>
      </c>
      <c r="C46" s="62" t="s">
        <v>20</v>
      </c>
      <c r="D46" s="109">
        <v>17839</v>
      </c>
      <c r="E46" s="110">
        <v>17839</v>
      </c>
      <c r="F46" s="110"/>
      <c r="G46" s="110"/>
      <c r="H46" s="110"/>
      <c r="I46" s="109"/>
      <c r="J46" s="109">
        <v>247401</v>
      </c>
      <c r="K46" s="110">
        <v>247401</v>
      </c>
      <c r="L46" s="110"/>
      <c r="M46" s="110"/>
      <c r="N46" s="110"/>
      <c r="O46" s="109"/>
      <c r="P46" s="109">
        <v>750180</v>
      </c>
      <c r="Q46" s="110">
        <v>750180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433130</v>
      </c>
      <c r="AT46" s="113">
        <v>70290</v>
      </c>
      <c r="AU46" s="113"/>
      <c r="AV46" s="113"/>
      <c r="AW46" s="318"/>
    </row>
    <row r="47" spans="1:49" x14ac:dyDescent="0.2">
      <c r="B47" s="161" t="s">
        <v>264</v>
      </c>
      <c r="C47" s="62" t="s">
        <v>21</v>
      </c>
      <c r="D47" s="109">
        <v>345</v>
      </c>
      <c r="E47" s="110">
        <v>345</v>
      </c>
      <c r="F47" s="110"/>
      <c r="G47" s="110"/>
      <c r="H47" s="110"/>
      <c r="I47" s="109"/>
      <c r="J47" s="109">
        <v>924163</v>
      </c>
      <c r="K47" s="110">
        <v>924163</v>
      </c>
      <c r="L47" s="110"/>
      <c r="M47" s="110"/>
      <c r="N47" s="110"/>
      <c r="O47" s="109"/>
      <c r="P47" s="109">
        <v>3040084</v>
      </c>
      <c r="Q47" s="110">
        <v>3040084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18690</v>
      </c>
      <c r="AT47" s="113">
        <v>-383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-16556.8298</v>
      </c>
      <c r="E49" s="110">
        <v>-16015.15</v>
      </c>
      <c r="F49" s="110"/>
      <c r="G49" s="110"/>
      <c r="H49" s="110"/>
      <c r="I49" s="109"/>
      <c r="J49" s="109">
        <v>63570.76200000001</v>
      </c>
      <c r="K49" s="110">
        <v>3755.0500000000006</v>
      </c>
      <c r="L49" s="110"/>
      <c r="M49" s="110"/>
      <c r="N49" s="110"/>
      <c r="O49" s="109"/>
      <c r="P49" s="109">
        <v>256901.80799999999</v>
      </c>
      <c r="Q49" s="110">
        <v>11310.12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-50753.73</v>
      </c>
      <c r="AT49" s="113">
        <v>-3728.7299999999996</v>
      </c>
      <c r="AU49" s="113"/>
      <c r="AV49" s="113"/>
      <c r="AW49" s="318"/>
    </row>
    <row r="50" spans="2:49" ht="25.5" x14ac:dyDescent="0.2">
      <c r="B50" s="155" t="s">
        <v>266</v>
      </c>
      <c r="C50" s="62"/>
      <c r="D50" s="109">
        <v>12.14</v>
      </c>
      <c r="E50" s="110">
        <v>12.14</v>
      </c>
      <c r="F50" s="110"/>
      <c r="G50" s="110"/>
      <c r="H50" s="110"/>
      <c r="I50" s="109"/>
      <c r="J50" s="109">
        <v>1113.67</v>
      </c>
      <c r="K50" s="110">
        <v>1113.67</v>
      </c>
      <c r="L50" s="110"/>
      <c r="M50" s="110"/>
      <c r="N50" s="110"/>
      <c r="O50" s="109"/>
      <c r="P50" s="109">
        <v>3356.9100000000012</v>
      </c>
      <c r="Q50" s="110">
        <v>3356.9100000000012</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-814.80000000000018</v>
      </c>
      <c r="AT50" s="113">
        <v>-12.96999999999997</v>
      </c>
      <c r="AU50" s="113"/>
      <c r="AV50" s="113"/>
      <c r="AW50" s="318"/>
    </row>
    <row r="51" spans="2:49" x14ac:dyDescent="0.2">
      <c r="B51" s="155" t="s">
        <v>267</v>
      </c>
      <c r="C51" s="62"/>
      <c r="D51" s="109">
        <v>7259</v>
      </c>
      <c r="E51" s="110">
        <v>7259</v>
      </c>
      <c r="F51" s="110"/>
      <c r="G51" s="110"/>
      <c r="H51" s="110"/>
      <c r="I51" s="109"/>
      <c r="J51" s="109">
        <v>2216821</v>
      </c>
      <c r="K51" s="110">
        <v>2216821</v>
      </c>
      <c r="L51" s="110"/>
      <c r="M51" s="110"/>
      <c r="N51" s="110"/>
      <c r="O51" s="109"/>
      <c r="P51" s="109">
        <v>6625739</v>
      </c>
      <c r="Q51" s="110">
        <v>6625739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1070163</v>
      </c>
      <c r="AT51" s="113">
        <v>365234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5089</v>
      </c>
      <c r="K56" s="122">
        <v>4663</v>
      </c>
      <c r="L56" s="122"/>
      <c r="M56" s="122"/>
      <c r="N56" s="122"/>
      <c r="O56" s="121"/>
      <c r="P56" s="121">
        <v>13118</v>
      </c>
      <c r="Q56" s="122">
        <v>13810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4416</v>
      </c>
      <c r="AT56" s="123">
        <v>8905</v>
      </c>
      <c r="AU56" s="123"/>
      <c r="AV56" s="123"/>
      <c r="AW56" s="309"/>
    </row>
    <row r="57" spans="2:49" x14ac:dyDescent="0.2">
      <c r="B57" s="161" t="s">
        <v>273</v>
      </c>
      <c r="C57" s="62" t="s">
        <v>25</v>
      </c>
      <c r="D57" s="124"/>
      <c r="E57" s="125"/>
      <c r="F57" s="125"/>
      <c r="G57" s="125"/>
      <c r="H57" s="125"/>
      <c r="I57" s="124"/>
      <c r="J57" s="124">
        <v>10411</v>
      </c>
      <c r="K57" s="125">
        <v>9110</v>
      </c>
      <c r="L57" s="125"/>
      <c r="M57" s="125"/>
      <c r="N57" s="125"/>
      <c r="O57" s="124"/>
      <c r="P57" s="124">
        <v>28074</v>
      </c>
      <c r="Q57" s="125">
        <v>29809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4416</v>
      </c>
      <c r="AT57" s="126">
        <v>11826</v>
      </c>
      <c r="AU57" s="126"/>
      <c r="AV57" s="126"/>
      <c r="AW57" s="310"/>
    </row>
    <row r="58" spans="2:49" x14ac:dyDescent="0.2">
      <c r="B58" s="161" t="s">
        <v>274</v>
      </c>
      <c r="C58" s="62" t="s">
        <v>26</v>
      </c>
      <c r="D58" s="330"/>
      <c r="E58" s="331"/>
      <c r="F58" s="331"/>
      <c r="G58" s="331"/>
      <c r="H58" s="331"/>
      <c r="I58" s="330"/>
      <c r="J58" s="124">
        <v>372</v>
      </c>
      <c r="K58" s="125">
        <v>372</v>
      </c>
      <c r="L58" s="125"/>
      <c r="M58" s="125"/>
      <c r="N58" s="125"/>
      <c r="O58" s="124"/>
      <c r="P58" s="124">
        <v>105</v>
      </c>
      <c r="Q58" s="125">
        <v>105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c r="AU58" s="126"/>
      <c r="AV58" s="126"/>
      <c r="AW58" s="310"/>
    </row>
    <row r="59" spans="2:49" x14ac:dyDescent="0.2">
      <c r="B59" s="161" t="s">
        <v>275</v>
      </c>
      <c r="C59" s="62" t="s">
        <v>27</v>
      </c>
      <c r="D59" s="124">
        <v>306</v>
      </c>
      <c r="E59" s="125">
        <v>301</v>
      </c>
      <c r="F59" s="125"/>
      <c r="G59" s="125"/>
      <c r="H59" s="125"/>
      <c r="I59" s="124"/>
      <c r="J59" s="124">
        <v>121671</v>
      </c>
      <c r="K59" s="125">
        <v>110013</v>
      </c>
      <c r="L59" s="125"/>
      <c r="M59" s="125"/>
      <c r="N59" s="125"/>
      <c r="O59" s="124"/>
      <c r="P59" s="124">
        <v>363635</v>
      </c>
      <c r="Q59" s="125">
        <v>379239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52500</v>
      </c>
      <c r="AT59" s="126">
        <v>284056</v>
      </c>
      <c r="AU59" s="126"/>
      <c r="AV59" s="126"/>
      <c r="AW59" s="310"/>
    </row>
    <row r="60" spans="2:49" x14ac:dyDescent="0.2">
      <c r="B60" s="161" t="s">
        <v>276</v>
      </c>
      <c r="C60" s="62"/>
      <c r="D60" s="127">
        <f t="shared" ref="D60:AC60" si="0">D$59/12</f>
        <v>25.5</v>
      </c>
      <c r="E60" s="128">
        <f t="shared" si="0"/>
        <v>25.083333333333332</v>
      </c>
      <c r="F60" s="128">
        <f t="shared" si="0"/>
        <v>0</v>
      </c>
      <c r="G60" s="128">
        <f t="shared" si="0"/>
        <v>0</v>
      </c>
      <c r="H60" s="128">
        <f t="shared" si="0"/>
        <v>0</v>
      </c>
      <c r="I60" s="127">
        <f t="shared" si="0"/>
        <v>0</v>
      </c>
      <c r="J60" s="127">
        <f t="shared" si="0"/>
        <v>10139.25</v>
      </c>
      <c r="K60" s="128">
        <f t="shared" si="0"/>
        <v>9167.75</v>
      </c>
      <c r="L60" s="128">
        <f t="shared" si="0"/>
        <v>0</v>
      </c>
      <c r="M60" s="128">
        <f t="shared" si="0"/>
        <v>0</v>
      </c>
      <c r="N60" s="128">
        <f t="shared" si="0"/>
        <v>0</v>
      </c>
      <c r="O60" s="127">
        <f t="shared" si="0"/>
        <v>0</v>
      </c>
      <c r="P60" s="127">
        <f t="shared" si="0"/>
        <v>30302.916666666668</v>
      </c>
      <c r="Q60" s="128">
        <f t="shared" si="0"/>
        <v>31603.25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4375</v>
      </c>
      <c r="AT60" s="129">
        <f>AT$59/12</f>
        <v>23671.333333333332</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2105989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39728</v>
      </c>
      <c r="E5" s="118">
        <v>39728.410000000003</v>
      </c>
      <c r="F5" s="118"/>
      <c r="G5" s="130"/>
      <c r="H5" s="130"/>
      <c r="I5" s="117"/>
      <c r="J5" s="117">
        <v>20816758</v>
      </c>
      <c r="K5" s="118">
        <v>19052582.237280399</v>
      </c>
      <c r="L5" s="118"/>
      <c r="M5" s="118"/>
      <c r="N5" s="118"/>
      <c r="O5" s="117"/>
      <c r="P5" s="117">
        <v>52102743</v>
      </c>
      <c r="Q5" s="118">
        <v>53825389.506540999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20937317</v>
      </c>
      <c r="AT5" s="119">
        <v>2871498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0.51000000000385626</v>
      </c>
      <c r="E9" s="288"/>
      <c r="F9" s="288"/>
      <c r="G9" s="288"/>
      <c r="H9" s="288"/>
      <c r="I9" s="292"/>
      <c r="J9" s="109">
        <v>3786.3599999961443</v>
      </c>
      <c r="K9" s="288"/>
      <c r="L9" s="288"/>
      <c r="M9" s="288"/>
      <c r="N9" s="288"/>
      <c r="O9" s="292"/>
      <c r="P9" s="109">
        <v>-3786.3599999926519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0.12000000011175871</v>
      </c>
      <c r="K11" s="110"/>
      <c r="L11" s="110"/>
      <c r="M11" s="110"/>
      <c r="N11" s="110"/>
      <c r="O11" s="109"/>
      <c r="P11" s="109">
        <v>-0.35999999986961484</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-314912</v>
      </c>
      <c r="AT11" s="113"/>
      <c r="AU11" s="113"/>
      <c r="AV11" s="311"/>
      <c r="AW11" s="318"/>
    </row>
    <row r="12" spans="2:49" x14ac:dyDescent="0.2">
      <c r="B12" s="176" t="s">
        <v>283</v>
      </c>
      <c r="C12" s="133" t="s">
        <v>44</v>
      </c>
      <c r="D12" s="109">
        <v>0.16000000000349246</v>
      </c>
      <c r="E12" s="289"/>
      <c r="F12" s="289"/>
      <c r="G12" s="289"/>
      <c r="H12" s="289"/>
      <c r="I12" s="293"/>
      <c r="J12" s="109">
        <v>-0.84000000404193997</v>
      </c>
      <c r="K12" s="289"/>
      <c r="L12" s="289"/>
      <c r="M12" s="289"/>
      <c r="N12" s="289"/>
      <c r="O12" s="293"/>
      <c r="P12" s="109">
        <v>0.18000000715073838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-184356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38693</v>
      </c>
      <c r="E23" s="288"/>
      <c r="F23" s="288"/>
      <c r="G23" s="288"/>
      <c r="H23" s="288"/>
      <c r="I23" s="292"/>
      <c r="J23" s="109">
        <v>13266840</v>
      </c>
      <c r="K23" s="288"/>
      <c r="L23" s="288"/>
      <c r="M23" s="288"/>
      <c r="N23" s="288"/>
      <c r="O23" s="292"/>
      <c r="P23" s="109">
        <v>46606778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19392678</v>
      </c>
      <c r="AT23" s="113">
        <v>2164348</v>
      </c>
      <c r="AU23" s="113"/>
      <c r="AV23" s="311"/>
      <c r="AW23" s="318"/>
    </row>
    <row r="24" spans="2:49" ht="28.5" customHeight="1" x14ac:dyDescent="0.2">
      <c r="B24" s="178" t="s">
        <v>114</v>
      </c>
      <c r="C24" s="133"/>
      <c r="D24" s="293"/>
      <c r="E24" s="110">
        <v>26987.03</v>
      </c>
      <c r="F24" s="110"/>
      <c r="G24" s="110"/>
      <c r="H24" s="110"/>
      <c r="I24" s="109"/>
      <c r="J24" s="293"/>
      <c r="K24" s="110">
        <v>13511428.853004411</v>
      </c>
      <c r="L24" s="110"/>
      <c r="M24" s="110"/>
      <c r="N24" s="110"/>
      <c r="O24" s="109"/>
      <c r="P24" s="293"/>
      <c r="Q24" s="110">
        <v>45034023.766995594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1653303</v>
      </c>
      <c r="K26" s="288"/>
      <c r="L26" s="288"/>
      <c r="M26" s="288"/>
      <c r="N26" s="288"/>
      <c r="O26" s="292"/>
      <c r="P26" s="109">
        <v>4017313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3326047</v>
      </c>
      <c r="AT26" s="113">
        <v>107593</v>
      </c>
      <c r="AU26" s="113"/>
      <c r="AV26" s="311"/>
      <c r="AW26" s="318"/>
    </row>
    <row r="27" spans="2:49" s="5" customFormat="1" ht="25.5" x14ac:dyDescent="0.2">
      <c r="B27" s="178" t="s">
        <v>85</v>
      </c>
      <c r="C27" s="133"/>
      <c r="D27" s="293"/>
      <c r="E27" s="110">
        <v>-24.650000000000006</v>
      </c>
      <c r="F27" s="110"/>
      <c r="G27" s="110"/>
      <c r="H27" s="110"/>
      <c r="I27" s="109"/>
      <c r="J27" s="293"/>
      <c r="K27" s="110">
        <v>194450.29082958918</v>
      </c>
      <c r="L27" s="110"/>
      <c r="M27" s="110"/>
      <c r="N27" s="110"/>
      <c r="O27" s="109"/>
      <c r="P27" s="293"/>
      <c r="Q27" s="110">
        <v>610386.06417041167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27181</v>
      </c>
      <c r="E28" s="289"/>
      <c r="F28" s="289"/>
      <c r="G28" s="289"/>
      <c r="H28" s="289"/>
      <c r="I28" s="293"/>
      <c r="J28" s="109">
        <v>1899826</v>
      </c>
      <c r="K28" s="289"/>
      <c r="L28" s="289"/>
      <c r="M28" s="289"/>
      <c r="N28" s="289"/>
      <c r="O28" s="293"/>
      <c r="P28" s="109">
        <v>5479662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3140455</v>
      </c>
      <c r="AT28" s="113">
        <v>120197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7593</v>
      </c>
      <c r="K30" s="288"/>
      <c r="L30" s="288"/>
      <c r="M30" s="288"/>
      <c r="N30" s="288"/>
      <c r="O30" s="292"/>
      <c r="P30" s="109">
        <v>12407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-146.82</v>
      </c>
      <c r="F31" s="110"/>
      <c r="G31" s="110"/>
      <c r="H31" s="110"/>
      <c r="I31" s="109"/>
      <c r="J31" s="293"/>
      <c r="K31" s="110">
        <v>5002.13</v>
      </c>
      <c r="L31" s="110"/>
      <c r="M31" s="110"/>
      <c r="N31" s="110"/>
      <c r="O31" s="109"/>
      <c r="P31" s="293"/>
      <c r="Q31" s="110">
        <v>2034.9500000000025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147</v>
      </c>
      <c r="E32" s="289"/>
      <c r="F32" s="289"/>
      <c r="G32" s="289"/>
      <c r="H32" s="289"/>
      <c r="I32" s="293"/>
      <c r="J32" s="109">
        <v>4000</v>
      </c>
      <c r="K32" s="289"/>
      <c r="L32" s="289"/>
      <c r="M32" s="289"/>
      <c r="N32" s="289"/>
      <c r="O32" s="293"/>
      <c r="P32" s="109">
        <v>8963.0000000000018</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10482</v>
      </c>
      <c r="E38" s="288"/>
      <c r="F38" s="288"/>
      <c r="G38" s="288"/>
      <c r="H38" s="288"/>
      <c r="I38" s="292"/>
      <c r="J38" s="109">
        <v>1087618</v>
      </c>
      <c r="K38" s="288"/>
      <c r="L38" s="288"/>
      <c r="M38" s="288"/>
      <c r="N38" s="288"/>
      <c r="O38" s="292"/>
      <c r="P38" s="109">
        <v>3786</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72371</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1809672</v>
      </c>
      <c r="K41" s="288"/>
      <c r="L41" s="288"/>
      <c r="M41" s="288"/>
      <c r="N41" s="288"/>
      <c r="O41" s="292"/>
      <c r="P41" s="109">
        <v>1791289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-314912</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3058.0000000000005</v>
      </c>
      <c r="E43" s="289"/>
      <c r="F43" s="289"/>
      <c r="G43" s="289"/>
      <c r="H43" s="289"/>
      <c r="I43" s="293"/>
      <c r="J43" s="109">
        <v>1152426</v>
      </c>
      <c r="K43" s="289"/>
      <c r="L43" s="289"/>
      <c r="M43" s="289"/>
      <c r="N43" s="289"/>
      <c r="O43" s="293"/>
      <c r="P43" s="109">
        <v>8588.0000000000018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-184356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130</v>
      </c>
      <c r="E49" s="110">
        <v>307.39999999999998</v>
      </c>
      <c r="F49" s="110"/>
      <c r="G49" s="110"/>
      <c r="H49" s="110"/>
      <c r="I49" s="109"/>
      <c r="J49" s="109">
        <v>44440</v>
      </c>
      <c r="K49" s="110">
        <v>206557.98782680498</v>
      </c>
      <c r="L49" s="110"/>
      <c r="M49" s="110"/>
      <c r="N49" s="110"/>
      <c r="O49" s="109"/>
      <c r="P49" s="109">
        <v>106794</v>
      </c>
      <c r="Q49" s="110">
        <v>604932.5421731947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254877</v>
      </c>
      <c r="AT49" s="113">
        <v>3853</v>
      </c>
      <c r="AU49" s="113"/>
      <c r="AV49" s="311"/>
      <c r="AW49" s="318"/>
    </row>
    <row r="50" spans="2:49" x14ac:dyDescent="0.2">
      <c r="B50" s="176" t="s">
        <v>119</v>
      </c>
      <c r="C50" s="133" t="s">
        <v>34</v>
      </c>
      <c r="D50" s="109">
        <v>658</v>
      </c>
      <c r="E50" s="289"/>
      <c r="F50" s="289"/>
      <c r="G50" s="289"/>
      <c r="H50" s="289"/>
      <c r="I50" s="293"/>
      <c r="J50" s="109">
        <v>50938</v>
      </c>
      <c r="K50" s="289"/>
      <c r="L50" s="289"/>
      <c r="M50" s="289"/>
      <c r="N50" s="289"/>
      <c r="O50" s="293"/>
      <c r="P50" s="109">
        <v>65417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161732</v>
      </c>
      <c r="AT50" s="113">
        <v>2382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-588</v>
      </c>
      <c r="L53" s="110"/>
      <c r="M53" s="110"/>
      <c r="N53" s="110"/>
      <c r="O53" s="109"/>
      <c r="P53" s="109"/>
      <c r="Q53" s="110">
        <v>588</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19317</v>
      </c>
      <c r="E54" s="115">
        <f>E24+E27+E31+E35-E36+E39+E42+E45+E46-E49+E51+E52+E53</f>
        <v>26508.159999999996</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14775272</v>
      </c>
      <c r="K54" s="115">
        <f>K24+K27+K31+K35-K36+K39+K42+K45+K46-K49+K51+K52+K53</f>
        <v>13503735.286007196</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46892983</v>
      </c>
      <c r="Q54" s="115">
        <f>Q24+Q27+Q31+Q35-Q36+Q39+Q42+Q45+Q46-Q49+Q51+Q52+Q53</f>
        <v>45042100.238992818</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19426940</v>
      </c>
      <c r="AT54" s="116">
        <f>AT23+AT26-AT28+AT30-AT32+AT34-AT36+AT38+AT41-AT43+AT45+AT46-AT47-AT49+AT50+AT51+AT52+AT53</f>
        <v>2150273</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1876</v>
      </c>
      <c r="E56" s="110">
        <v>1876</v>
      </c>
      <c r="F56" s="110"/>
      <c r="G56" s="110"/>
      <c r="H56" s="110"/>
      <c r="I56" s="109"/>
      <c r="J56" s="109">
        <v>30175</v>
      </c>
      <c r="K56" s="110">
        <v>30175</v>
      </c>
      <c r="L56" s="110"/>
      <c r="M56" s="110"/>
      <c r="N56" s="110"/>
      <c r="O56" s="109"/>
      <c r="P56" s="109">
        <v>91276</v>
      </c>
      <c r="Q56" s="110">
        <v>91276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118996</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609551.52999999991</v>
      </c>
      <c r="D5" s="118">
        <v>415833.25700000004</v>
      </c>
      <c r="E5" s="346"/>
      <c r="F5" s="346"/>
      <c r="G5" s="312"/>
      <c r="H5" s="117">
        <v>10848887.619999999</v>
      </c>
      <c r="I5" s="118">
        <v>12373255.595736358</v>
      </c>
      <c r="J5" s="346"/>
      <c r="K5" s="346"/>
      <c r="L5" s="312"/>
      <c r="M5" s="117">
        <v>41451474.699999996</v>
      </c>
      <c r="N5" s="118">
        <v>35777722.637763642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610186.88000000012</v>
      </c>
      <c r="D6" s="110">
        <v>417391.90950000007</v>
      </c>
      <c r="E6" s="115">
        <f>SUM('Pt 1 Summary of Data'!E$12,'Pt 1 Summary of Data'!E$22)+SUM('Pt 1 Summary of Data'!G$12,'Pt 1 Summary of Data'!G$22)-SUM('Pt 1 Summary of Data'!H$12,'Pt 1 Summary of Data'!H$22)</f>
        <v>26508.159999999996</v>
      </c>
      <c r="F6" s="115">
        <f t="shared" ref="F6:F11" si="0">SUM(C6:E6)</f>
        <v>1054086.9495000001</v>
      </c>
      <c r="G6" s="116">
        <f>SUM('Pt 1 Summary of Data'!I$12,'Pt 1 Summary of Data'!I$22)</f>
        <v>0</v>
      </c>
      <c r="H6" s="109">
        <v>10928258.367093615</v>
      </c>
      <c r="I6" s="110">
        <v>12385590.297097716</v>
      </c>
      <c r="J6" s="115">
        <f>SUM('Pt 1 Summary of Data'!K$12,'Pt 1 Summary of Data'!K$22)+SUM('Pt 1 Summary of Data'!M$12,'Pt 1 Summary of Data'!M$22)-SUM('Pt 1 Summary of Data'!N$12,'Pt 1 Summary of Data'!N$22)</f>
        <v>13503735.286007196</v>
      </c>
      <c r="K6" s="115">
        <f>SUM(H6:J6)</f>
        <v>36817583.950198531</v>
      </c>
      <c r="L6" s="116">
        <f>SUM('Pt 1 Summary of Data'!O$12,'Pt 1 Summary of Data'!O$22)</f>
        <v>0</v>
      </c>
      <c r="M6" s="109">
        <v>41361206.682906389</v>
      </c>
      <c r="N6" s="110">
        <v>35663842.150902286</v>
      </c>
      <c r="O6" s="115">
        <f>SUM('Pt 1 Summary of Data'!Q$12,'Pt 1 Summary of Data'!Q$22)+SUM('Pt 1 Summary of Data'!S$12,'Pt 1 Summary of Data'!S$22)-SUM('Pt 1 Summary of Data'!T$12,'Pt 1 Summary of Data'!T$22)</f>
        <v>45042100.238992818</v>
      </c>
      <c r="P6" s="115">
        <f>SUM(M6:O6)</f>
        <v>122067149.0728015</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9171.7200000000012</v>
      </c>
      <c r="D7" s="110">
        <v>2987.05</v>
      </c>
      <c r="E7" s="115">
        <f>SUM('Pt 1 Summary of Data'!E$37:E$41)+SUM('Pt 1 Summary of Data'!G$37:G$41)-SUM('Pt 1 Summary of Data'!H$37:H$41)+MAX(0,MIN('Pt 1 Summary of Data'!E$42+'Pt 1 Summary of Data'!G$42-'Pt 1 Summary of Data'!H$42,0.3%*('Pt 1 Summary of Data'!E$5+'Pt 1 Summary of Data'!G$5-'Pt 1 Summary of Data'!H$5-SUM(E$9:E$11))))</f>
        <v>27674.59</v>
      </c>
      <c r="F7" s="115">
        <f t="shared" si="0"/>
        <v>39833.360000000001</v>
      </c>
      <c r="G7" s="116">
        <f>SUM('Pt 1 Summary of Data'!I$37:I$41)+MAX(0,MIN('Pt 1 Summary of Data'!I$42,0.3%*('Pt 1 Summary of Data'!I$5-SUM(G$9:G$10))))</f>
        <v>0</v>
      </c>
      <c r="H7" s="109">
        <v>200869.4</v>
      </c>
      <c r="I7" s="110">
        <v>419926.85000000003</v>
      </c>
      <c r="J7" s="115">
        <f>SUM('Pt 1 Summary of Data'!K$37:K$41)+SUM('Pt 1 Summary of Data'!M$37:M$41)-SUM('Pt 1 Summary of Data'!N$37:N$41)+MAX(0,MIN('Pt 1 Summary of Data'!K$42+'Pt 1 Summary of Data'!M$42-'Pt 1 Summary of Data'!N$42,0.3%*('Pt 1 Summary of Data'!K$5+'Pt 1 Summary of Data'!M$5-'Pt 1 Summary of Data'!N$5-SUM(J$10:J$11))))</f>
        <v>396950.74</v>
      </c>
      <c r="K7" s="115">
        <f>SUM(H7:J7)</f>
        <v>1017746.99</v>
      </c>
      <c r="L7" s="116">
        <f>SUM('Pt 1 Summary of Data'!O$37:O$41)+MAX(0,MIN('Pt 1 Summary of Data'!O$42,0.3%*('Pt 1 Summary of Data'!O$5-L$10)))</f>
        <v>0</v>
      </c>
      <c r="M7" s="109">
        <v>733301.85</v>
      </c>
      <c r="N7" s="110">
        <v>1080232.8299999998</v>
      </c>
      <c r="O7" s="115">
        <f>SUM('Pt 1 Summary of Data'!Q$37:Q$41)+SUM('Pt 1 Summary of Data'!S$37:S$41)-SUM('Pt 1 Summary of Data'!T$37:T$41)+MAX(0,MIN('Pt 1 Summary of Data'!Q$42+'Pt 1 Summary of Data'!S$42-'Pt 1 Summary of Data'!T$42,0.3%*('Pt 1 Summary of Data'!Q$5+'Pt 1 Summary of Data'!S$5-'Pt 1 Summary of Data'!T$5)))</f>
        <v>1208732.6000000001</v>
      </c>
      <c r="P7" s="115">
        <f>SUM(M7:O7)</f>
        <v>3022267.28</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619358.60000000009</v>
      </c>
      <c r="D12" s="115">
        <f>SUM(D$6:D$7)+IF(AND(OR('Company Information'!$C$12="District of Columbia",'Company Information'!$C$12="Massachusetts",'Company Information'!$C$12="Vermont"),SUM($C$6:$F$11,$C$15:$F$16,$C$37:$D$37)&lt;&gt;0),SUM(I$6:I$7),0)</f>
        <v>420378.95950000006</v>
      </c>
      <c r="E12" s="115">
        <f>SUM(E$6:E$7)-SUM(E$8:E$11)+IF(AND(OR('Company Information'!$C$12="District of Columbia",'Company Information'!$C$12="Massachusetts",'Company Information'!$C$12="Vermont"),SUM($C$6:$F$11,$C$15:$F$16,$C$37:$D$37)&lt;&gt;0),SUM(J$6:J$7)-SUM(J$10:J$11),0)</f>
        <v>54182.75</v>
      </c>
      <c r="F12" s="115">
        <f>IFERROR(SUM(C$12:E$12)+C$17*MAX(0,E$49-C$49)+D$17*MAX(0,E$49-D$49),0)</f>
        <v>1093920.3095000002</v>
      </c>
      <c r="G12" s="311"/>
      <c r="H12" s="114">
        <f>SUM(H$6:H$7)+IF(AND(OR('Company Information'!$C$12="District of Columbia",'Company Information'!$C$12="Massachusetts",'Company Information'!$C$12="Vermont"),SUM($H$6:$K$11,$H$15:$K$16,$H$37:$I$37)&lt;&gt;0),SUM(C$6:C$7),0)</f>
        <v>11129127.767093616</v>
      </c>
      <c r="I12" s="115">
        <f>SUM(I$6:I$7)+IF(AND(OR('Company Information'!$C$12="District of Columbia",'Company Information'!$C$12="Massachusetts",'Company Information'!$C$12="Vermont"),SUM($H$6:$K$11,$H$15:$K$16,$H$37:$I$37)&lt;&gt;0),SUM(D$6:D$7),0)</f>
        <v>12805517.147097716</v>
      </c>
      <c r="J12" s="115">
        <f>SUM(J$6:J$7)-SUM(J$10:J$11)+IF(AND(OR('Company Information'!$C$12="District of Columbia",'Company Information'!$C$12="Massachusetts",'Company Information'!$C$12="Vermont"),SUM($H$6:$K$11,$H$15:$K$16,$H$37:$I$37)&lt;&gt;0),SUM(E$6:E$7)-SUM(E$8:E$11),0)</f>
        <v>13900686.026007196</v>
      </c>
      <c r="K12" s="115">
        <f>IFERROR(SUM(H$12:J$12)+H$17*MAX(0,J$49-H$49)+I$17*MAX(0,J$49-I$49),0)</f>
        <v>37835330.940198526</v>
      </c>
      <c r="L12" s="311"/>
      <c r="M12" s="114">
        <f>SUM(M$6:M$7)</f>
        <v>42094508.532906391</v>
      </c>
      <c r="N12" s="115">
        <f>SUM(N$6:N$7)</f>
        <v>36744074.980902284</v>
      </c>
      <c r="O12" s="115">
        <f>SUM(O$6:O$7)</f>
        <v>46250832.838992819</v>
      </c>
      <c r="P12" s="115">
        <f>SUM(M$12:O$12)+M$17*MAX(0,O$49-M$49)+N$17*MAX(0,O$49-N$49)</f>
        <v>125089416.35280149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877399.22</v>
      </c>
      <c r="D15" s="118">
        <v>643163.68997139996</v>
      </c>
      <c r="E15" s="106">
        <f>SUM('Pt 1 Summary of Data'!E$5:E$7)+SUM('Pt 1 Summary of Data'!G$5:G$7)-SUM('Pt 1 Summary of Data'!H$5:H$7)-SUM(E$9:E$11)+D$55</f>
        <v>39728.410000000003</v>
      </c>
      <c r="F15" s="106">
        <f>SUM(C15:E15)</f>
        <v>1560291.3199713998</v>
      </c>
      <c r="G15" s="107">
        <f>SUM('Pt 1 Summary of Data'!I$5:I$7)-SUM(G$9:G$10)</f>
        <v>0</v>
      </c>
      <c r="H15" s="117">
        <v>15153264.949999999</v>
      </c>
      <c r="I15" s="118">
        <v>18664267.899471097</v>
      </c>
      <c r="J15" s="106">
        <f>SUM('Pt 1 Summary of Data'!K$5:K$7)+SUM('Pt 1 Summary of Data'!M$5:M$7)-SUM('Pt 1 Summary of Data'!N$5:N$7)-SUM(J$10:J$11)+I$55</f>
        <v>19052582.237280399</v>
      </c>
      <c r="K15" s="106">
        <f>SUM(H15:J15)</f>
        <v>52870115.086751491</v>
      </c>
      <c r="L15" s="107">
        <f>SUM('Pt 1 Summary of Data'!O$5:O$7)-L$10</f>
        <v>0</v>
      </c>
      <c r="M15" s="117">
        <v>46710505.960000001</v>
      </c>
      <c r="N15" s="118">
        <v>46751589.8705412</v>
      </c>
      <c r="O15" s="106">
        <f>SUM('Pt 1 Summary of Data'!Q$5:Q$7)+SUM('Pt 1 Summary of Data'!S$5:S$7)-SUM('Pt 1 Summary of Data'!T$5:T$7)+N$55</f>
        <v>53825389.506540999</v>
      </c>
      <c r="P15" s="106">
        <f>SUM(M15:O15)</f>
        <v>147287485.33708221</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33161.69</v>
      </c>
      <c r="D16" s="110">
        <v>26619</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541.81999999999994</v>
      </c>
      <c r="F16" s="115">
        <f>SUM(C16:E16)</f>
        <v>60322.51</v>
      </c>
      <c r="G16" s="116">
        <f>SUM('Pt 1 Summary of Data'!I$25:I$28,'Pt 1 Summary of Data'!I$30,'Pt 1 Summary of Data'!I$34:I$35)+IF('Company Information'!$C$15="No",IF(MAX('Pt 1 Summary of Data'!I$31:I$32)=0,MIN('Pt 1 Summary of Data'!I$31:I$32),MAX('Pt 1 Summary of Data'!I$31:I$32)),SUM('Pt 1 Summary of Data'!I$31:I$32))</f>
        <v>0</v>
      </c>
      <c r="H16" s="109">
        <v>281764.04000000004</v>
      </c>
      <c r="I16" s="110">
        <v>474186</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538126.19999999995</v>
      </c>
      <c r="K16" s="115">
        <f>SUM(H16:J16)</f>
        <v>1294076.24</v>
      </c>
      <c r="L16" s="116">
        <f>SUM('Pt 1 Summary of Data'!O$25:O$28,'Pt 1 Summary of Data'!O$30,'Pt 1 Summary of Data'!O$34:O$35)+IF('Company Information'!$C$15="No",IF(MAX('Pt 1 Summary of Data'!O$31:O$32)=0,MIN('Pt 1 Summary of Data'!O$31:O$32),MAX('Pt 1 Summary of Data'!O$31:O$32)),SUM('Pt 1 Summary of Data'!O$31:O$32))</f>
        <v>0</v>
      </c>
      <c r="M16" s="109">
        <v>841260.33999999985</v>
      </c>
      <c r="N16" s="110">
        <v>-179627</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1557519.0799999998</v>
      </c>
      <c r="P16" s="115">
        <f>SUM(M16:O16)</f>
        <v>2219152.42</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844237.53</v>
      </c>
      <c r="D17" s="115">
        <f>D$15-D$16+IF(AND(OR('Company Information'!$C$12="District of Columbia",'Company Information'!$C$12="Massachusetts",'Company Information'!$C$12="Vermont"),SUM($C$6:$F$11,$C$15:$F$16,$C$37:$D$37)&lt;&gt;0),I$15-I$16,0)</f>
        <v>616544.68997139996</v>
      </c>
      <c r="E17" s="115">
        <f>E$15-E$16+IF(AND(OR('Company Information'!$C$12="District of Columbia",'Company Information'!$C$12="Massachusetts",'Company Information'!$C$12="Vermont"),SUM($C$6:$F$11,$C$15:$F$16,$C$37:$D$37)&lt;&gt;0),J$15-J$16,0)</f>
        <v>39186.590000000004</v>
      </c>
      <c r="F17" s="115">
        <f>F$15-F$16+IF(AND(OR('Company Information'!$C$12="District of Columbia",'Company Information'!$C$12="Massachusetts",'Company Information'!$C$12="Vermont"),SUM($C$6:$F$11,$C$15:$F$16,$C$37:$D$37)&lt;&gt;0),K$15-K$16,0)</f>
        <v>1499968.8099713998</v>
      </c>
      <c r="G17" s="314"/>
      <c r="H17" s="114">
        <f>H$15-H$16+IF(AND(OR('Company Information'!$C$12="District of Columbia",'Company Information'!$C$12="Massachusetts",'Company Information'!$C$12="Vermont"),SUM($H$6:$K$11,$H$15:$K$16,$H$37:$I$37)&lt;&gt;0),C$15-C$16,0)</f>
        <v>14871500.91</v>
      </c>
      <c r="I17" s="115">
        <f>I$15-I$16+IF(AND(OR('Company Information'!$C$12="District of Columbia",'Company Information'!$C$12="Massachusetts",'Company Information'!$C$12="Vermont"),SUM($H$6:$K$11,$H$15:$K$16,$H$37:$I$37)&lt;&gt;0),D$15-D$16,0)</f>
        <v>18190081.899471097</v>
      </c>
      <c r="J17" s="115">
        <f>J$15-J$16+IF(AND(OR('Company Information'!$C$12="District of Columbia",'Company Information'!$C$12="Massachusetts",'Company Information'!$C$12="Vermont"),SUM($H$6:$K$11,$H$15:$K$16,$H$37:$I$37)&lt;&gt;0),E$15-E$16,0)</f>
        <v>18514456.037280399</v>
      </c>
      <c r="K17" s="115">
        <f>K$15-K$16+IF(AND(OR('Company Information'!$C$12="District of Columbia",'Company Information'!$C$12="Massachusetts",'Company Information'!$C$12="Vermont"),SUM($H$6:$K$11,$H$15:$K$16,$H$37:$I$37)&lt;&gt;0),F$15-F$16,0)</f>
        <v>51576038.846751489</v>
      </c>
      <c r="L17" s="314"/>
      <c r="M17" s="114">
        <f>M$15-M$16</f>
        <v>45869245.620000005</v>
      </c>
      <c r="N17" s="115">
        <f>N$15-N$16</f>
        <v>46931216.8705412</v>
      </c>
      <c r="O17" s="115">
        <f>O$15-O$16</f>
        <v>52267870.426541001</v>
      </c>
      <c r="P17" s="115">
        <f>P$15-P$16</f>
        <v>145068332.91708222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533.58333333333337</v>
      </c>
      <c r="D37" s="122">
        <v>391</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25.083333333333332</v>
      </c>
      <c r="F37" s="256">
        <f>SUM(C$37:E$37)+IF(AND(OR('Company Information'!$C$12="District of Columbia",'Company Information'!$C$12="Massachusetts",'Company Information'!$C$12="Vermont"),SUM($C$6:$F$11,$C$15:$F$16,$C$37:$D$37)&lt;&gt;0,SUM(C$37:D$37)&lt;&gt;SUM(H$37:I$37)),SUM(H$37:I$37),0)</f>
        <v>949.66666666666674</v>
      </c>
      <c r="G37" s="312"/>
      <c r="H37" s="121">
        <v>8089.583333333333</v>
      </c>
      <c r="I37" s="122">
        <v>9173</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9167.75</v>
      </c>
      <c r="K37" s="256">
        <f>SUM(H$37:J$37)+IF(AND(OR('Company Information'!$C$12="District of Columbia",'Company Information'!$C$12="Massachusetts",'Company Information'!$C$12="Vermont"),SUM($H$6:$K$11,$H$15:$K$16,$H$37:$I$37)&lt;&gt;0,SUM(H$37:I$37)&lt;&gt;SUM(C$37:D$37)),SUM(C$37:D$37),0)</f>
        <v>26430.333333333332</v>
      </c>
      <c r="L37" s="312"/>
      <c r="M37" s="121">
        <v>30453.75</v>
      </c>
      <c r="N37" s="122">
        <v>27421</v>
      </c>
      <c r="O37" s="256">
        <f>('Pt 1 Summary of Data'!Q$59+'Pt 1 Summary of Data'!S$59-'Pt 1 Summary of Data'!T$59)/12</f>
        <v>31603.25</v>
      </c>
      <c r="P37" s="256">
        <f>SUM(M$37:O$37)</f>
        <v>89478</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 ca="1">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f>IF(OR(H$37&lt;1000,H$17&lt;=0),"",H$12/H$17)</f>
        <v>0.74835269381653935</v>
      </c>
      <c r="I44" s="260">
        <f>IF(OR(I$37&lt;1000,I$17&lt;=0),"",I$12/I$17)</f>
        <v>0.70398347945151662</v>
      </c>
      <c r="J44" s="260">
        <f>IF(OR(J$37&lt;1000,J$17&lt;=0),"",J$12/J$17)</f>
        <v>0.75080175177801645</v>
      </c>
      <c r="K44" s="260">
        <f>IF(OR(K$37&lt;1000,K$17&lt;=0),"",K$12/K$17)</f>
        <v>0.73358349703084225</v>
      </c>
      <c r="L44" s="311"/>
      <c r="M44" s="262">
        <f>IF(OR(M$37&lt;1000,M$17&lt;=0),"",M$12/M$17)</f>
        <v>0.91770658016996587</v>
      </c>
      <c r="N44" s="260">
        <f>IF(OR(N$37&lt;1000,N$17&lt;=0),"",N$12/N$17)</f>
        <v>0.78293463138320196</v>
      </c>
      <c r="O44" s="260">
        <f>IF(OR(O$37&lt;1000,O$17&lt;=0),"",O$12/O$17)</f>
        <v>0.88488075870615912</v>
      </c>
      <c r="P44" s="260">
        <f>IF(OR(P$37&lt;1000,P$17&lt;=0),"",P$12/P$17)</f>
        <v>0.86227927099913504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f ca="1">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f ca="1">IF(K$44="","",ROUND(K$44+MAX(0,K$46),3))</f>
        <v>0.73399999999999999</v>
      </c>
      <c r="L47" s="311"/>
      <c r="M47" s="292"/>
      <c r="N47" s="288"/>
      <c r="O47" s="288"/>
      <c r="P47" s="260">
        <f>IF(P$44="","",ROUND(P$44+MAX(0,P$46),3))</f>
        <v>0.86199999999999999</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2055</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f ca="1">K$47</f>
        <v>0.73399999999999999</v>
      </c>
      <c r="L50" s="311"/>
      <c r="M50" s="293"/>
      <c r="N50" s="289"/>
      <c r="O50" s="289"/>
      <c r="P50" s="260">
        <f>P$47</f>
        <v>0.86199999999999999</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f>IF(K$37&lt;1000,"",MAX(0,J$15-J$16))</f>
        <v>18514456.037280399</v>
      </c>
      <c r="L51" s="311"/>
      <c r="M51" s="292"/>
      <c r="N51" s="288"/>
      <c r="O51" s="288"/>
      <c r="P51" s="115">
        <f>IF(P$37&lt;1000,"",MAX(0,O$15-O$16))</f>
        <v>52267870.426541001</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 ca="1">IF(OR(K$37&lt;1000,K$17&lt;=0),0,MAX(0,K$49-K$50)*K$51)</f>
        <v>1221954.0984605073</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4663</v>
      </c>
      <c r="E4" s="149">
        <f>'Pt 1 Summary of Data'!$Q$56+'Pt 1 Summary of Data'!$S$56-'Pt 1 Summary of Data'!$T$56</f>
        <v>13810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434</v>
      </c>
      <c r="E6" s="123"/>
      <c r="F6" s="363"/>
      <c r="G6" s="123"/>
      <c r="H6" s="123"/>
      <c r="I6" s="363"/>
      <c r="J6" s="363"/>
      <c r="K6" s="372"/>
    </row>
    <row r="7" spans="2:11" x14ac:dyDescent="0.2">
      <c r="B7" s="155" t="s">
        <v>102</v>
      </c>
      <c r="C7" s="124"/>
      <c r="D7" s="126">
        <v>35</v>
      </c>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 ca="1">'Pt 3 MLR and Rebate Calculation'!$K$52</f>
        <v>1221954.0984605073</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1221954.1000000001</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10481.259729513809</v>
      </c>
      <c r="D16" s="119">
        <v>1091404.9139682667</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997.61</v>
      </c>
      <c r="D22" s="212">
        <v>42839.509999999995</v>
      </c>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7" sqref="B1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507</v>
      </c>
      <c r="C8" s="28"/>
      <c r="D8" s="29"/>
      <c r="E8" s="29"/>
      <c r="F8" s="29"/>
      <c r="G8" s="29"/>
      <c r="H8" s="29"/>
      <c r="I8" s="27"/>
      <c r="J8" s="27"/>
      <c r="K8" s="2"/>
    </row>
    <row r="9" spans="1:12" s="5" customFormat="1" ht="18" customHeight="1" x14ac:dyDescent="0.2">
      <c r="B9" s="66" t="s">
        <v>508</v>
      </c>
      <c r="C9" s="28"/>
      <c r="D9" s="29"/>
      <c r="E9" s="29"/>
      <c r="F9" s="29"/>
      <c r="G9" s="29"/>
      <c r="H9" s="29"/>
      <c r="I9" s="27"/>
      <c r="J9" s="27"/>
      <c r="K9" s="2"/>
    </row>
    <row r="10" spans="1:12" s="5" customFormat="1" ht="18" customHeight="1" x14ac:dyDescent="0.2">
      <c r="B10" s="66" t="s">
        <v>509</v>
      </c>
      <c r="C10" s="28"/>
      <c r="D10" s="29"/>
      <c r="E10" s="29"/>
      <c r="F10" s="29"/>
      <c r="G10" s="29"/>
      <c r="H10" s="29"/>
      <c r="I10" s="27"/>
      <c r="J10" s="27"/>
      <c r="K10" s="2"/>
    </row>
    <row r="11" spans="1:12" s="5" customFormat="1" ht="18" customHeight="1" x14ac:dyDescent="0.2">
      <c r="B11" s="66" t="s">
        <v>510</v>
      </c>
      <c r="C11" s="28"/>
      <c r="D11" s="29"/>
      <c r="E11" s="29"/>
      <c r="F11" s="29"/>
      <c r="G11" s="29"/>
      <c r="H11" s="29"/>
      <c r="I11" s="27"/>
      <c r="J11" s="27"/>
      <c r="K11" s="2"/>
    </row>
    <row r="12" spans="1:12" s="5" customFormat="1" ht="18" customHeight="1" x14ac:dyDescent="0.2">
      <c r="B12" s="66" t="s">
        <v>511</v>
      </c>
      <c r="C12" s="28"/>
      <c r="D12" s="29"/>
      <c r="E12" s="29"/>
      <c r="F12" s="29"/>
      <c r="G12" s="29"/>
      <c r="H12" s="29"/>
      <c r="I12" s="27"/>
      <c r="J12" s="27"/>
      <c r="K12" s="2"/>
    </row>
    <row r="13" spans="1:12" s="5" customFormat="1" ht="18" customHeight="1" x14ac:dyDescent="0.2">
      <c r="B13" s="66" t="s">
        <v>512</v>
      </c>
      <c r="C13" s="28"/>
      <c r="D13" s="29"/>
      <c r="E13" s="29"/>
      <c r="F13" s="29"/>
      <c r="G13" s="29"/>
      <c r="H13" s="29"/>
      <c r="I13" s="27"/>
      <c r="J13" s="27"/>
      <c r="K13" s="2"/>
    </row>
    <row r="14" spans="1:12" s="5" customFormat="1" ht="18" customHeight="1" x14ac:dyDescent="0.2">
      <c r="B14" s="66" t="s">
        <v>513</v>
      </c>
      <c r="C14" s="28"/>
      <c r="D14" s="29"/>
      <c r="E14" s="29"/>
      <c r="F14" s="29"/>
      <c r="G14" s="29"/>
      <c r="H14" s="29"/>
      <c r="I14" s="27"/>
      <c r="J14" s="27"/>
      <c r="K14" s="2"/>
    </row>
    <row r="15" spans="1:12" s="5" customFormat="1" ht="18" customHeight="1" x14ac:dyDescent="0.2">
      <c r="B15" s="66" t="s">
        <v>514</v>
      </c>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2015-07-23T00:59:48Z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