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X49" i="10" l="1"/>
  <c r="W49" i="10"/>
  <c r="V49" i="10"/>
  <c r="U49" i="10"/>
  <c r="T49" i="10"/>
  <c r="S49" i="10"/>
  <c r="R49" i="10"/>
  <c r="Q49" i="10"/>
  <c r="H11" i="16"/>
  <c r="E11" i="16"/>
  <c r="H4" i="16"/>
  <c r="G4" i="16"/>
  <c r="F4" i="16"/>
  <c r="E4" i="16"/>
  <c r="D4" i="16"/>
  <c r="C4" i="16"/>
  <c r="AB52" i="10"/>
  <c r="X52" i="10"/>
  <c r="G11" i="16" s="1"/>
  <c r="T52" i="10"/>
  <c r="F11" i="16" s="1"/>
  <c r="P52" i="10"/>
  <c r="AB51" i="10"/>
  <c r="X51" i="10"/>
  <c r="T51" i="10"/>
  <c r="P51" i="10"/>
  <c r="AB50" i="10"/>
  <c r="P50" i="10"/>
  <c r="AB47" i="10"/>
  <c r="P47" i="10"/>
  <c r="AB46" i="10"/>
  <c r="P46" i="10"/>
  <c r="AB45" i="10"/>
  <c r="AA45" i="10"/>
  <c r="Z45" i="10"/>
  <c r="Y45" i="10"/>
  <c r="X45" i="10"/>
  <c r="X46" i="10" s="1"/>
  <c r="W45" i="10"/>
  <c r="V45" i="10"/>
  <c r="U45" i="10"/>
  <c r="T45" i="10"/>
  <c r="T46" i="10" s="1"/>
  <c r="S45" i="10"/>
  <c r="R45" i="10"/>
  <c r="Q45" i="10"/>
  <c r="P44" i="10"/>
  <c r="O44" i="10"/>
  <c r="N44" i="10"/>
  <c r="M44" i="10"/>
  <c r="P38" i="10" s="1"/>
  <c r="AB41" i="10"/>
  <c r="X41" i="10"/>
  <c r="T41" i="10"/>
  <c r="P41" i="10"/>
  <c r="AB40" i="10"/>
  <c r="X40" i="10"/>
  <c r="T40" i="10"/>
  <c r="P40" i="10"/>
  <c r="K40" i="10"/>
  <c r="F40" i="10"/>
  <c r="AB38" i="10"/>
  <c r="T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M17" i="10"/>
  <c r="AB16" i="10"/>
  <c r="AA16" i="10"/>
  <c r="X16" i="10"/>
  <c r="W16" i="10"/>
  <c r="V13" i="10" s="1"/>
  <c r="T16" i="10"/>
  <c r="S16" i="10"/>
  <c r="P16" i="10"/>
  <c r="O16" i="10"/>
  <c r="L16" i="10"/>
  <c r="K16" i="10"/>
  <c r="J16" i="10"/>
  <c r="G16" i="10"/>
  <c r="F16" i="10"/>
  <c r="E16" i="10"/>
  <c r="AB15" i="10"/>
  <c r="AA15" i="10"/>
  <c r="X15" i="10"/>
  <c r="W15" i="10"/>
  <c r="T15" i="10"/>
  <c r="S15" i="10"/>
  <c r="P15" i="10"/>
  <c r="O15" i="10"/>
  <c r="L15" i="10"/>
  <c r="AA13" i="10"/>
  <c r="Z13" i="10"/>
  <c r="Y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S55" i="18"/>
  <c r="AS22" i="4" s="1"/>
  <c r="AC55" i="18"/>
  <c r="AC22" i="4" s="1"/>
  <c r="AB55" i="18"/>
  <c r="AA55" i="18"/>
  <c r="AA22" i="4" s="1"/>
  <c r="Z55" i="18"/>
  <c r="Y55" i="18"/>
  <c r="Y22" i="4" s="1"/>
  <c r="X55" i="18"/>
  <c r="W55" i="18"/>
  <c r="V55" i="18"/>
  <c r="V22" i="4" s="1"/>
  <c r="U55" i="18"/>
  <c r="T55" i="18"/>
  <c r="T22" i="4" s="1"/>
  <c r="S55" i="18"/>
  <c r="S22" i="4" s="1"/>
  <c r="R55" i="18"/>
  <c r="Q55" i="18"/>
  <c r="Q22" i="4" s="1"/>
  <c r="P55" i="18"/>
  <c r="O55" i="18"/>
  <c r="O22" i="4" s="1"/>
  <c r="N55" i="18"/>
  <c r="M55" i="18"/>
  <c r="L55" i="18"/>
  <c r="K55" i="18"/>
  <c r="J55" i="18"/>
  <c r="I55" i="18"/>
  <c r="H55" i="18"/>
  <c r="G55" i="18"/>
  <c r="F55" i="18"/>
  <c r="E55" i="18"/>
  <c r="D55" i="18"/>
  <c r="D22" i="4" s="1"/>
  <c r="AU54" i="18"/>
  <c r="AT54" i="18"/>
  <c r="AT12" i="4" s="1"/>
  <c r="AS54" i="18"/>
  <c r="AC54" i="18"/>
  <c r="AB54" i="18"/>
  <c r="AA54" i="18"/>
  <c r="Z54" i="18"/>
  <c r="Y54" i="18"/>
  <c r="X54" i="18"/>
  <c r="X12" i="4" s="1"/>
  <c r="W54" i="18"/>
  <c r="V54" i="18"/>
  <c r="U54" i="18"/>
  <c r="T54" i="18"/>
  <c r="S54" i="18"/>
  <c r="R54" i="18"/>
  <c r="Q54" i="18"/>
  <c r="P54" i="18"/>
  <c r="O54" i="18"/>
  <c r="O12" i="4" s="1"/>
  <c r="N54" i="18"/>
  <c r="M54" i="18"/>
  <c r="M12" i="4" s="1"/>
  <c r="L54" i="18"/>
  <c r="L12" i="4" s="1"/>
  <c r="K54" i="18"/>
  <c r="K12" i="4" s="1"/>
  <c r="J54" i="18"/>
  <c r="J12" i="4" s="1"/>
  <c r="I54" i="18"/>
  <c r="H54" i="18"/>
  <c r="H12" i="4" s="1"/>
  <c r="G54" i="18"/>
  <c r="G12" i="4" s="1"/>
  <c r="F54" i="18"/>
  <c r="E54" i="18"/>
  <c r="E12" i="4" s="1"/>
  <c r="D54" i="18"/>
  <c r="D12" i="4" s="1"/>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B22" i="4"/>
  <c r="Z22" i="4"/>
  <c r="X22" i="4"/>
  <c r="W22" i="4"/>
  <c r="U22" i="4"/>
  <c r="R22" i="4"/>
  <c r="P22" i="4"/>
  <c r="N22" i="4"/>
  <c r="M22" i="4"/>
  <c r="L22" i="4"/>
  <c r="K22" i="4"/>
  <c r="J22" i="4"/>
  <c r="I22" i="4"/>
  <c r="H22" i="4"/>
  <c r="G22" i="4"/>
  <c r="F22" i="4"/>
  <c r="E22" i="4"/>
  <c r="AU12" i="4"/>
  <c r="AS12" i="4"/>
  <c r="AC12" i="4"/>
  <c r="AB12" i="4"/>
  <c r="AA12" i="4"/>
  <c r="Z12" i="4"/>
  <c r="Y12" i="4"/>
  <c r="W12" i="4"/>
  <c r="V12" i="4"/>
  <c r="U12" i="4"/>
  <c r="T12" i="4"/>
  <c r="S12" i="4"/>
  <c r="R12" i="4"/>
  <c r="Q12" i="4"/>
  <c r="P12" i="4"/>
  <c r="N12" i="4"/>
  <c r="I12" i="4"/>
  <c r="F12" i="4"/>
  <c r="AU5" i="4"/>
  <c r="AT5" i="4"/>
  <c r="AS5" i="4"/>
  <c r="AC5" i="4"/>
  <c r="AB5" i="4"/>
  <c r="AA5" i="4"/>
  <c r="Z5" i="4"/>
  <c r="Y5" i="4"/>
  <c r="X5" i="4"/>
  <c r="W5" i="4"/>
  <c r="V5" i="4"/>
  <c r="U5" i="4"/>
  <c r="T5" i="4"/>
  <c r="S5" i="4"/>
  <c r="R5" i="4"/>
  <c r="Q5" i="4"/>
  <c r="P5" i="4"/>
  <c r="O5" i="4"/>
  <c r="N5" i="4"/>
  <c r="M5" i="4"/>
  <c r="L5" i="4"/>
  <c r="K5" i="4"/>
  <c r="J5" i="4"/>
  <c r="I5" i="4"/>
  <c r="G15" i="10" s="1"/>
  <c r="H5" i="4"/>
  <c r="G5" i="4"/>
  <c r="F5" i="4"/>
  <c r="E5" i="4"/>
  <c r="E15" i="10" s="1"/>
  <c r="D5" i="4"/>
  <c r="J15" i="10" l="1"/>
  <c r="K15" i="10" s="1"/>
  <c r="F15" i="10"/>
  <c r="G7" i="10"/>
  <c r="E7" i="10"/>
  <c r="J7" i="10"/>
  <c r="L23" i="10"/>
  <c r="L27" i="10" s="1"/>
  <c r="L31" i="10" s="1"/>
  <c r="L32" i="10" s="1"/>
  <c r="L33" i="10" s="1"/>
  <c r="X47" i="10"/>
  <c r="X50" i="10" s="1"/>
  <c r="X38" i="10"/>
  <c r="T47" i="10"/>
  <c r="T50" i="10" s="1"/>
  <c r="U13" i="10"/>
  <c r="W13" i="10"/>
  <c r="Q13" i="10"/>
  <c r="T13" i="10"/>
  <c r="X13" i="10"/>
  <c r="R13" i="10"/>
  <c r="S13" i="10"/>
  <c r="G29" i="10" l="1"/>
  <c r="G19" i="10"/>
  <c r="G21" i="10" s="1"/>
  <c r="G20" i="10"/>
  <c r="G25" i="10"/>
  <c r="K7" i="10"/>
  <c r="H17" i="10" s="1"/>
  <c r="J37" i="10"/>
  <c r="K17" i="10"/>
  <c r="F7" i="10"/>
  <c r="E37" i="10" s="1"/>
  <c r="D12" i="10"/>
  <c r="G28" i="10"/>
  <c r="L26" i="10"/>
  <c r="L30" i="10" s="1"/>
  <c r="G24" i="10" l="1"/>
  <c r="G23" i="10" s="1"/>
  <c r="G27" i="10" s="1"/>
  <c r="F37" i="10"/>
  <c r="K37" i="10"/>
  <c r="C12" i="10"/>
  <c r="E17" i="10"/>
  <c r="F17" i="10"/>
  <c r="H12" i="10"/>
  <c r="H44" i="10" s="1"/>
  <c r="I12" i="10"/>
  <c r="J12" i="10"/>
  <c r="E12" i="10"/>
  <c r="D17" i="10"/>
  <c r="D44" i="10" s="1"/>
  <c r="C17" i="10"/>
  <c r="C44" i="10" s="1"/>
  <c r="I17" i="10"/>
  <c r="J17" i="10"/>
  <c r="J44" i="10" s="1"/>
  <c r="G31" i="10"/>
  <c r="G32" i="10" s="1"/>
  <c r="G33" i="10" s="1"/>
  <c r="G26" i="10"/>
  <c r="G30" i="10" s="1"/>
  <c r="I44" i="10" l="1"/>
  <c r="E44" i="10"/>
  <c r="F12" i="10"/>
  <c r="F44" i="10" s="1"/>
  <c r="K12" i="10"/>
  <c r="K44" i="10" s="1"/>
  <c r="K51" i="10"/>
  <c r="K38" i="10"/>
  <c r="K41" i="10"/>
  <c r="F38" i="10"/>
  <c r="F51" i="10"/>
  <c r="F41" i="10"/>
  <c r="K46" i="10" l="1"/>
  <c r="K47" i="10" s="1"/>
  <c r="K50" i="10" s="1"/>
  <c r="K52" i="10" s="1"/>
  <c r="D11" i="16" s="1"/>
  <c r="F46" i="10"/>
  <c r="F47" i="10" s="1"/>
  <c r="F50" i="10" s="1"/>
  <c r="F52" i="10" s="1"/>
  <c r="C11" i="16" s="1"/>
</calcChain>
</file>

<file path=xl/sharedStrings.xml><?xml version="1.0" encoding="utf-8"?>
<sst xmlns="http://schemas.openxmlformats.org/spreadsheetml/2006/main" count="575" uniqueCount="513">
  <si>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</si>
  <si>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</si>
  <si>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</si>
  <si>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</si>
  <si>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</si>
  <si>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</si>
  <si>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</si>
  <si>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</si>
  <si>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</si>
  <si>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</si>
  <si>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</si>
  <si>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</si>
  <si>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</si>
  <si>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</si>
  <si>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</si>
  <si>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</si>
  <si>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</si>
  <si>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</si>
  <si>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</si>
  <si>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</si>
  <si>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</si>
  <si>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</si>
  <si>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</si>
  <si>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</si>
  <si>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</si>
  <si>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</si>
  <si>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</si>
  <si>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</si>
  <si>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</si>
  <si>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</si>
  <si>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</si>
  <si>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</si>
  <si>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</si>
  <si>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</si>
  <si>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</si>
  <si>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</si>
  <si>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</si>
  <si>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</si>
  <si>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</si>
  <si>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</si>
  <si>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</si>
  <si>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</si>
  <si>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</si>
  <si>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</si>
  <si>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</si>
  <si>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</si>
  <si>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</si>
  <si>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</si>
  <si>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</si>
  <si>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</si>
  <si>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</si>
  <si>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</si>
  <si>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</si>
  <si>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</si>
  <si>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</si>
  <si>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</si>
  <si>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</si>
  <si>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</si>
  <si>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</si>
  <si>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</si>
  <si>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</si>
  <si>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</si>
  <si>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</si>
  <si>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</si>
  <si>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</si>
  <si>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</si>
  <si>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</si>
  <si>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</si>
  <si>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</si>
  <si>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</si>
  <si>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</si>
  <si>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</si>
  <si>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</si>
  <si>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</si>
  <si>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</si>
  <si>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</si>
  <si>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</si>
  <si>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</si>
  <si>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</si>
  <si>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</si>
  <si>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</si>
  <si>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</si>
  <si>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</si>
  <si>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</si>
  <si>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</si>
  <si>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</si>
  <si>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</si>
  <si>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</si>
  <si>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</si>
  <si>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</si>
  <si>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</si>
  <si>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</si>
  <si>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</si>
  <si>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</si>
  <si>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</si>
  <si>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</si>
  <si>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</si>
  <si>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</si>
  <si>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</si>
  <si>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</si>
  <si>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</si>
  <si>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</si>
  <si>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</si>
  <si>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</si>
  <si>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</si>
  <si>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</si>
  <si>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</si>
  <si>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</si>
  <si>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</si>
  <si>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</si>
  <si>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</si>
  <si>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</si>
  <si>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</si>
  <si>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</si>
  <si>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</si>
  <si>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</si>
  <si>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</si>
  <si>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</si>
  <si>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</si>
  <si>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</si>
  <si>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</si>
  <si>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</si>
  <si>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</si>
  <si>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</si>
  <si>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</si>
  <si>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</si>
  <si>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</si>
  <si>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</si>
  <si>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</si>
  <si>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</si>
  <si>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</si>
  <si>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</si>
  <si>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</si>
  <si>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</si>
  <si>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</si>
  <si>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</si>
  <si>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</si>
  <si>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</si>
  <si>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</si>
  <si>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</si>
  <si>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</si>
  <si>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</si>
  <si>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</si>
  <si>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</si>
  <si>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</si>
  <si>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</si>
  <si>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</si>
  <si>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</si>
  <si>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</si>
  <si>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</si>
  <si>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</si>
  <si>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</si>
  <si>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</si>
  <si>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</si>
  <si>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</si>
  <si>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</si>
  <si>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</si>
  <si>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</si>
  <si>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</si>
  <si>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</si>
  <si>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</si>
  <si>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</si>
  <si>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</si>
  <si>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</si>
  <si>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</si>
  <si>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</si>
  <si>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</si>
  <si>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</si>
  <si>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</si>
  <si>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</si>
  <si>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</si>
  <si>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</si>
  <si>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</si>
  <si>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</si>
  <si>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</si>
  <si>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</si>
  <si>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</si>
  <si>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</si>
  <si>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</si>
  <si>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</si>
  <si>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</si>
  <si>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</si>
  <si>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</si>
  <si>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</si>
  <si>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</si>
  <si>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</si>
  <si>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</si>
  <si>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</si>
  <si>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</si>
  <si>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</si>
  <si>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</si>
  <si>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</si>
  <si>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</si>
  <si>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</si>
  <si>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</si>
  <si>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</si>
  <si>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</si>
  <si>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</si>
  <si>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</si>
  <si>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</si>
  <si>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</si>
  <si>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</si>
  <si>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</si>
  <si>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</si>
  <si>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</si>
  <si>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</si>
  <si>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</si>
  <si>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</si>
  <si>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</si>
  <si>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</si>
  <si>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</si>
  <si>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</si>
  <si>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</si>
  <si>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</si>
  <si>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</si>
  <si>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</si>
  <si>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</si>
  <si>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</si>
  <si>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</si>
  <si>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</si>
  <si>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</si>
  <si>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</si>
  <si>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</si>
  <si>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</si>
  <si>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</si>
  <si>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</si>
  <si>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</si>
  <si>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</si>
  <si>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</si>
  <si>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</si>
  <si>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</si>
  <si>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</si>
  <si>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</si>
  <si>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</si>
  <si>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</si>
  <si>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</si>
  <si>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</si>
  <si>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</si>
  <si>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</si>
  <si>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</si>
  <si>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</si>
  <si>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</si>
  <si>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</si>
  <si>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</si>
  <si>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</si>
  <si>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</si>
  <si>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</si>
  <si>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</si>
  <si>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</si>
  <si>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</si>
  <si>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</si>
  <si>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</si>
  <si>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</si>
  <si>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</si>
  <si>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</si>
  <si>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</si>
  <si>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</si>
  <si>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</si>
  <si>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</si>
  <si>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</si>
  <si>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</si>
  <si>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</si>
  <si>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</si>
  <si>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</si>
  <si>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</si>
  <si>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</si>
  <si>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</si>
  <si>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</si>
  <si>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</si>
  <si>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</si>
  <si>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</si>
  <si>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</si>
  <si>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</si>
  <si>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</si>
  <si>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</si>
  <si>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</si>
  <si>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</si>
  <si>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</si>
  <si>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</si>
  <si>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</si>
  <si>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</si>
  <si>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</si>
  <si>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</si>
  <si>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</si>
  <si>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</si>
  <si>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</si>
  <si>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</si>
  <si>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</si>
  <si>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</si>
  <si>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</si>
  <si>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</si>
  <si>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</si>
  <si>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</si>
  <si>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</si>
  <si>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</si>
  <si>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</si>
  <si>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</si>
  <si>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</si>
  <si>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</si>
  <si>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</si>
  <si>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</si>
  <si>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</si>
  <si>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</si>
  <si>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</si>
  <si>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</si>
  <si>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</si>
  <si>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</si>
  <si>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</si>
  <si>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</si>
  <si>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</si>
  <si>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</si>
  <si>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</si>
  <si>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</si>
  <si>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</si>
  <si>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</si>
  <si>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</si>
  <si>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</si>
  <si>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</si>
  <si>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</si>
  <si>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</si>
  <si>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</si>
  <si>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</si>
  <si>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</si>
  <si>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</si>
  <si>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</si>
  <si>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</si>
  <si>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</si>
  <si>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</si>
  <si>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</si>
  <si>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</si>
  <si>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</si>
  <si>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</si>
  <si>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</si>
  <si>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</si>
  <si>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</si>
  <si>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</si>
  <si>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</si>
  <si>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</si>
  <si>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</si>
  <si>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</si>
  <si>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</si>
  <si>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</si>
  <si>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</si>
  <si>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</si>
  <si>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</si>
  <si>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</si>
  <si>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</si>
  <si>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</si>
  <si>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</si>
  <si>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</si>
  <si>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</si>
  <si>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</si>
  <si>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</si>
  <si>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</si>
  <si>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</si>
  <si>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</si>
  <si>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</si>
  <si>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</si>
  <si>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</si>
  <si>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</si>
  <si>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</si>
  <si>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</si>
  <si>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</si>
  <si>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</si>
  <si>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</si>
  <si>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</si>
  <si>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</si>
  <si>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</si>
  <si>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</si>
  <si>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</si>
  <si>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</si>
  <si>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</si>
  <si>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</si>
  <si>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</si>
  <si>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</si>
  <si>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</si>
  <si>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</si>
  <si>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</si>
  <si>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</si>
  <si>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</si>
  <si>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</si>
  <si>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</si>
  <si>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</si>
  <si>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</si>
  <si>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</si>
  <si>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</si>
  <si>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</si>
  <si>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</si>
  <si>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</si>
  <si>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</si>
  <si>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</si>
  <si>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</si>
  <si>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</si>
  <si>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</si>
  <si>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</si>
  <si>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</si>
  <si>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</si>
  <si>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</si>
  <si>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</si>
  <si>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</si>
  <si>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</si>
  <si>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</si>
  <si>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</si>
  <si>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</si>
  <si>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</si>
  <si>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</si>
  <si>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</si>
  <si>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</si>
  <si>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</si>
  <si>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</si>
  <si>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</si>
  <si>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</si>
  <si>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</si>
  <si>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</si>
  <si>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</si>
  <si>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</si>
  <si>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</si>
  <si>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</si>
  <si>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</si>
  <si>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</si>
  <si>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</si>
  <si>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</si>
  <si>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</si>
  <si>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</si>
  <si>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</si>
  <si>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</si>
  <si>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</si>
  <si>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</si>
  <si>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</si>
  <si>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</si>
  <si>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</si>
  <si>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</si>
  <si>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</si>
  <si>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</si>
  <si>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</si>
  <si>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</si>
  <si>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</si>
  <si>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</si>
  <si>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</si>
  <si>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</si>
  <si>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</si>
  <si>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</si>
  <si>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</si>
  <si>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</si>
  <si>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</si>
  <si>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</si>
  <si>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</si>
  <si>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</si>
  <si>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</si>
  <si>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</si>
  <si>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</si>
  <si>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</si>
  <si>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</si>
  <si>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</si>
  <si>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</si>
  <si>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</si>
  <si>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</si>
  <si>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</si>
  <si>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</si>
  <si>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</si>
  <si>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</si>
  <si>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</si>
  <si>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</si>
  <si>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</si>
  <si>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</si>
  <si>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</si>
  <si>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</si>
  <si>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</si>
  <si>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</si>
  <si>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</si>
  <si>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</si>
  <si>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</si>
  <si>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</si>
  <si>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</si>
  <si>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</si>
  <si>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</si>
  <si>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</si>
  <si>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</si>
  <si>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</si>
  <si>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</si>
  <si>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</si>
  <si>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</si>
  <si>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</si>
  <si>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</si>
  <si>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</si>
  <si>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</si>
  <si>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</si>
  <si>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</si>
  <si>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</si>
  <si>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</si>
  <si>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</si>
  <si>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</si>
  <si>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</si>
  <si>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</si>
  <si>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Humana Medical Plan, Inc. </t>
  </si>
  <si>
    <t>HUMANA GRP</t>
  </si>
  <si>
    <t>Humana</t>
  </si>
  <si>
    <t>119</t>
  </si>
  <si>
    <t>2014</t>
  </si>
  <si>
    <t>3501 SW 160th Avenue Miramar, FL 33027</t>
  </si>
  <si>
    <t>611103898</t>
  </si>
  <si>
    <t>095270</t>
  </si>
  <si>
    <t>95270</t>
  </si>
  <si>
    <t>35783</t>
  </si>
  <si>
    <t>220</t>
  </si>
  <si>
    <t>Humana Health Insurance Company of Florida, Inc.</t>
  </si>
  <si>
    <t>Humana Insurance Company</t>
  </si>
  <si>
    <t>Humana Employers Health Plan of Georgia, Inc.</t>
  </si>
  <si>
    <t>Humana Health Plan, Inc.</t>
  </si>
  <si>
    <t>Humana Health Plan of Texas, Inc.</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</si>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</sst>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145</v>
      </c>
    </row>
    <row r="13" spans="1:6" x14ac:dyDescent="0.2">
      <c r="B13" s="232" t="s">
        <v>50</v>
      </c>
      <c r="C13" s="378" t="s">
        <v>145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tabSelected="1" zoomScale="80" zoomScaleNormal="80" workbookViewId="0">
      <pane xSplit="2" ySplit="3" topLeftCell="E4" activePane="bottomRight" state="frozen"/>
      <selection activeCell="B1" sqref="B1"/>
      <selection pane="topRight" activeCell="B1" sqref="B1"/>
      <selection pane="bottomLeft" activeCell="B1" sqref="B1"/>
      <selection pane="bottomRight" activeCell="Q12" sqref="Q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571240056</v>
      </c>
      <c r="E5" s="106">
        <f>SUM('Pt 2 Premium and Claims'!E$5,'Pt 2 Premium and Claims'!E$6,-'Pt 2 Premium and Claims'!E$7,-'Pt 2 Premium and Claims'!E$13,'Pt 2 Premium and Claims'!E$14:'Pt 2 Premium and Claims'!E$17)</f>
        <v>682245553.18603063</v>
      </c>
      <c r="F5" s="106">
        <f>SUM('Pt 2 Premium and Claims'!F$5,'Pt 2 Premium and Claims'!F$6,-'Pt 2 Premium and Claims'!F$7,-'Pt 2 Premium and Claims'!F$13,'Pt 2 Premium and Claims'!F$14:'Pt 2 Premium and Claims'!F$17)</f>
        <v>2538578.92</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634196313</v>
      </c>
      <c r="J5" s="105">
        <f>SUM('Pt 2 Premium and Claims'!J$5,'Pt 2 Premium and Claims'!J$6,-'Pt 2 Premium and Claims'!J$7,-'Pt 2 Premium and Claims'!J$13,'Pt 2 Premium and Claims'!J$14,'Pt 2 Premium and Claims'!J$16:'Pt 2 Premium and Claims'!J$17)</f>
        <v>278758514</v>
      </c>
      <c r="K5" s="106">
        <f>SUM('Pt 2 Premium and Claims'!K$5,'Pt 2 Premium and Claims'!K$6,-'Pt 2 Premium and Claims'!K$7,-'Pt 2 Premium and Claims'!K$13,'Pt 2 Premium and Claims'!K$14,'Pt 2 Premium and Claims'!K$16:'Pt 2 Premium and Claims'!K$17)</f>
        <v>280982699.31290811</v>
      </c>
      <c r="L5" s="106">
        <f>SUM('Pt 2 Premium and Claims'!L$5,'Pt 2 Premium and Claims'!L$6,-'Pt 2 Premium and Claims'!L$7,-'Pt 2 Premium and Claims'!L$13,'Pt 2 Premium and Claims'!L$14,'Pt 2 Premium and Claims'!L$16:'Pt 2 Premium and Claims'!L$17)</f>
        <v>3327179.17</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535419682</v>
      </c>
      <c r="Q5" s="106">
        <f>SUM('Pt 2 Premium and Claims'!Q$5,'Pt 2 Premium and Claims'!Q$6,-'Pt 2 Premium and Claims'!Q$7,-'Pt 2 Premium and Claims'!Q$13,'Pt 2 Premium and Claims'!Q$14)</f>
        <v>556857009.04470897</v>
      </c>
      <c r="R5" s="106">
        <f>SUM('Pt 2 Premium and Claims'!R$5,'Pt 2 Premium and Claims'!R$6,-'Pt 2 Premium and Claims'!R$7,-'Pt 2 Premium and Claims'!R$13,'Pt 2 Premium and Claims'!R$14)</f>
        <v>17060862.009999998</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5226700455</v>
      </c>
      <c r="AT5" s="107">
        <f>SUM('Pt 2 Premium and Claims'!AT$5,'Pt 2 Premium and Claims'!AT$6,-'Pt 2 Premium and Claims'!AT$7,-'Pt 2 Premium and Claims'!AT$13,'Pt 2 Premium and Claims'!AT$14)</f>
        <v>267891</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-2200</v>
      </c>
      <c r="E7" s="110">
        <v>-2897.5777461174403</v>
      </c>
      <c r="F7" s="110">
        <v>-697.57774611744014</v>
      </c>
      <c r="G7" s="110"/>
      <c r="H7" s="110"/>
      <c r="I7" s="109"/>
      <c r="J7" s="109">
        <v>-29609</v>
      </c>
      <c r="K7" s="110">
        <v>-30234.932756183778</v>
      </c>
      <c r="L7" s="110">
        <v>-625.93275618377652</v>
      </c>
      <c r="M7" s="110"/>
      <c r="N7" s="110"/>
      <c r="O7" s="109"/>
      <c r="P7" s="109">
        <v>-82650</v>
      </c>
      <c r="Q7" s="110">
        <v>-87379.392344579828</v>
      </c>
      <c r="R7" s="110">
        <v>-4729.3923445798255</v>
      </c>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-7429662</v>
      </c>
      <c r="E8" s="289"/>
      <c r="F8" s="290"/>
      <c r="G8" s="290"/>
      <c r="H8" s="290"/>
      <c r="I8" s="293"/>
      <c r="J8" s="109">
        <v>-475994</v>
      </c>
      <c r="K8" s="289"/>
      <c r="L8" s="290"/>
      <c r="M8" s="290"/>
      <c r="N8" s="290"/>
      <c r="O8" s="293"/>
      <c r="P8" s="109">
        <v>-758363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559311660</v>
      </c>
      <c r="E12" s="106">
        <f>'Pt 2 Premium and Claims'!E$54</f>
        <v>646221477.60119998</v>
      </c>
      <c r="F12" s="106">
        <f>'Pt 2 Premium and Claims'!F$54</f>
        <v>1295985.666</v>
      </c>
      <c r="G12" s="106">
        <f>'Pt 2 Premium and Claims'!G$54</f>
        <v>0</v>
      </c>
      <c r="H12" s="106">
        <f>'Pt 2 Premium and Claims'!H$54</f>
        <v>0</v>
      </c>
      <c r="I12" s="105">
        <f>'Pt 2 Premium and Claims'!I$54</f>
        <v>635350225</v>
      </c>
      <c r="J12" s="105">
        <f>'Pt 2 Premium and Claims'!J$54</f>
        <v>220493500</v>
      </c>
      <c r="K12" s="106">
        <f>'Pt 2 Premium and Claims'!K$54</f>
        <v>224407722.17242548</v>
      </c>
      <c r="L12" s="106">
        <f>'Pt 2 Premium and Claims'!L$54</f>
        <v>2512130.8864999996</v>
      </c>
      <c r="M12" s="106">
        <f>'Pt 2 Premium and Claims'!M$54</f>
        <v>0</v>
      </c>
      <c r="N12" s="106">
        <f>'Pt 2 Premium and Claims'!N$54</f>
        <v>0</v>
      </c>
      <c r="O12" s="105">
        <f>'Pt 2 Premium and Claims'!O$54</f>
        <v>0</v>
      </c>
      <c r="P12" s="105">
        <f>'Pt 2 Premium and Claims'!P$54</f>
        <v>458779249</v>
      </c>
      <c r="Q12" s="106">
        <f>'Pt 2 Premium and Claims'!Q$54</f>
        <v>483579532.00733912</v>
      </c>
      <c r="R12" s="106">
        <f>'Pt 2 Premium and Claims'!R$54</f>
        <v>15199505.535300003</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4130743861</v>
      </c>
      <c r="AT12" s="107">
        <f>'Pt 2 Premium and Claims'!AT$54</f>
        <v>13684</v>
      </c>
      <c r="AU12" s="107">
        <f>'Pt 2 Premium and Claims'!AU$54</f>
        <v>0</v>
      </c>
      <c r="AV12" s="312"/>
      <c r="AW12" s="317"/>
    </row>
    <row r="13" spans="1:49" ht="25.5" x14ac:dyDescent="0.2">
      <c r="B13" s="155" t="s">
        <v>230</v>
      </c>
      <c r="C13" s="62" t="s">
        <v>37</v>
      </c>
      <c r="D13" s="109">
        <v>44514611</v>
      </c>
      <c r="E13" s="110">
        <v>51250994.359999999</v>
      </c>
      <c r="F13" s="110"/>
      <c r="G13" s="289"/>
      <c r="H13" s="290"/>
      <c r="I13" s="109">
        <v>50169482</v>
      </c>
      <c r="J13" s="109">
        <v>47256317</v>
      </c>
      <c r="K13" s="110">
        <v>47065395.950761788</v>
      </c>
      <c r="L13" s="110"/>
      <c r="M13" s="289"/>
      <c r="N13" s="290"/>
      <c r="O13" s="109"/>
      <c r="P13" s="109">
        <v>84811013</v>
      </c>
      <c r="Q13" s="110">
        <v>85127220.889238149</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570416772</v>
      </c>
      <c r="AT13" s="113"/>
      <c r="AU13" s="113"/>
      <c r="AV13" s="311"/>
      <c r="AW13" s="318"/>
    </row>
    <row r="14" spans="1:49" ht="25.5" x14ac:dyDescent="0.2">
      <c r="B14" s="155" t="s">
        <v>231</v>
      </c>
      <c r="C14" s="62" t="s">
        <v>6</v>
      </c>
      <c r="D14" s="109">
        <v>2308094</v>
      </c>
      <c r="E14" s="110">
        <v>2562370.0999999996</v>
      </c>
      <c r="F14" s="110"/>
      <c r="G14" s="288"/>
      <c r="H14" s="291"/>
      <c r="I14" s="109">
        <v>2436356</v>
      </c>
      <c r="J14" s="109">
        <v>4427522</v>
      </c>
      <c r="K14" s="110">
        <v>4257794.9308082452</v>
      </c>
      <c r="L14" s="110"/>
      <c r="M14" s="288"/>
      <c r="N14" s="291"/>
      <c r="O14" s="109"/>
      <c r="P14" s="109">
        <v>7393990</v>
      </c>
      <c r="Q14" s="110">
        <v>7335032.0891917516</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81249180</v>
      </c>
      <c r="AT14" s="113"/>
      <c r="AU14" s="113"/>
      <c r="AV14" s="311"/>
      <c r="AW14" s="318"/>
    </row>
    <row r="15" spans="1:49" ht="38.25" x14ac:dyDescent="0.2">
      <c r="B15" s="155" t="s">
        <v>232</v>
      </c>
      <c r="C15" s="62" t="s">
        <v>7</v>
      </c>
      <c r="D15" s="109">
        <v>3658</v>
      </c>
      <c r="E15" s="110">
        <v>3658</v>
      </c>
      <c r="F15" s="110"/>
      <c r="G15" s="288"/>
      <c r="H15" s="294"/>
      <c r="I15" s="109">
        <v>3578</v>
      </c>
      <c r="J15" s="109">
        <v>1816</v>
      </c>
      <c r="K15" s="110">
        <v>1816</v>
      </c>
      <c r="L15" s="110"/>
      <c r="M15" s="288"/>
      <c r="N15" s="294"/>
      <c r="O15" s="109"/>
      <c r="P15" s="109">
        <v>2983</v>
      </c>
      <c r="Q15" s="110">
        <v>2983</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30911</v>
      </c>
      <c r="AT15" s="113"/>
      <c r="AU15" s="113"/>
      <c r="AV15" s="311"/>
      <c r="AW15" s="318"/>
    </row>
    <row r="16" spans="1:49" ht="25.5" x14ac:dyDescent="0.2">
      <c r="B16" s="155" t="s">
        <v>233</v>
      </c>
      <c r="C16" s="62" t="s">
        <v>61</v>
      </c>
      <c r="D16" s="109">
        <v>-133482166.99999999</v>
      </c>
      <c r="E16" s="289"/>
      <c r="F16" s="290"/>
      <c r="G16" s="291"/>
      <c r="H16" s="291"/>
      <c r="I16" s="293"/>
      <c r="J16" s="109">
        <v>943491</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-129270.99999999999</v>
      </c>
      <c r="E17" s="288"/>
      <c r="F17" s="291"/>
      <c r="G17" s="291"/>
      <c r="H17" s="291"/>
      <c r="I17" s="292"/>
      <c r="J17" s="109">
        <v>-1429528</v>
      </c>
      <c r="K17" s="288"/>
      <c r="L17" s="291"/>
      <c r="M17" s="291"/>
      <c r="N17" s="291"/>
      <c r="O17" s="292"/>
      <c r="P17" s="109">
        <v>5355928</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-4473000</v>
      </c>
      <c r="AT17" s="113"/>
      <c r="AU17" s="113"/>
      <c r="AV17" s="311"/>
      <c r="AW17" s="318"/>
    </row>
    <row r="18" spans="1:49" x14ac:dyDescent="0.2">
      <c r="B18" s="155" t="s">
        <v>235</v>
      </c>
      <c r="C18" s="62" t="s">
        <v>63</v>
      </c>
      <c r="D18" s="109">
        <v>423292</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649021</v>
      </c>
      <c r="E19" s="288"/>
      <c r="F19" s="291"/>
      <c r="G19" s="291"/>
      <c r="H19" s="291"/>
      <c r="I19" s="292"/>
      <c r="J19" s="109">
        <v>31037</v>
      </c>
      <c r="K19" s="288"/>
      <c r="L19" s="291"/>
      <c r="M19" s="291"/>
      <c r="N19" s="291"/>
      <c r="O19" s="292"/>
      <c r="P19" s="109">
        <v>4363</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156175</v>
      </c>
      <c r="E22" s="115">
        <f>'Pt 2 Premium and Claims'!E$55</f>
        <v>161871.41</v>
      </c>
      <c r="F22" s="115">
        <f>'Pt 2 Premium and Claims'!F$55</f>
        <v>0</v>
      </c>
      <c r="G22" s="115">
        <f>'Pt 2 Premium and Claims'!G$55</f>
        <v>0</v>
      </c>
      <c r="H22" s="115">
        <f>'Pt 2 Premium and Claims'!H$55</f>
        <v>0</v>
      </c>
      <c r="I22" s="114">
        <f>'Pt 2 Premium and Claims'!I$55</f>
        <v>116904</v>
      </c>
      <c r="J22" s="114">
        <f>'Pt 2 Premium and Claims'!J$55</f>
        <v>400189</v>
      </c>
      <c r="K22" s="115">
        <f>'Pt 2 Premium and Claims'!K$55</f>
        <v>400264.28</v>
      </c>
      <c r="L22" s="115">
        <f>'Pt 2 Premium and Claims'!L$55</f>
        <v>0</v>
      </c>
      <c r="M22" s="115">
        <f>'Pt 2 Premium and Claims'!M$55</f>
        <v>0</v>
      </c>
      <c r="N22" s="115">
        <f>'Pt 2 Premium and Claims'!N$55</f>
        <v>0</v>
      </c>
      <c r="O22" s="114">
        <f>'Pt 2 Premium and Claims'!O$55</f>
        <v>0</v>
      </c>
      <c r="P22" s="114">
        <f>'Pt 2 Premium and Claims'!P$55</f>
        <v>1018070</v>
      </c>
      <c r="Q22" s="115">
        <f>'Pt 2 Premium and Claims'!Q$55</f>
        <v>1018461.22</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25285960.384</v>
      </c>
      <c r="E25" s="110">
        <v>5983774.6611292847</v>
      </c>
      <c r="F25" s="110">
        <v>-27252.742870715672</v>
      </c>
      <c r="G25" s="110"/>
      <c r="H25" s="110"/>
      <c r="I25" s="109">
        <v>4858401</v>
      </c>
      <c r="J25" s="109">
        <v>2285469.1090000002</v>
      </c>
      <c r="K25" s="110">
        <v>2561534.5335402153</v>
      </c>
      <c r="L25" s="110">
        <v>276065.42454021517</v>
      </c>
      <c r="M25" s="110"/>
      <c r="N25" s="110"/>
      <c r="O25" s="109"/>
      <c r="P25" s="109">
        <v>-5027881.8219999997</v>
      </c>
      <c r="Q25" s="110">
        <v>-5536660.0669596037</v>
      </c>
      <c r="R25" s="110">
        <v>-508778.24495960411</v>
      </c>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200648410</v>
      </c>
      <c r="AT25" s="113">
        <v>88170.499089999998</v>
      </c>
      <c r="AU25" s="113"/>
      <c r="AV25" s="113"/>
      <c r="AW25" s="318"/>
    </row>
    <row r="26" spans="1:49" s="5" customFormat="1" x14ac:dyDescent="0.2">
      <c r="A26" s="35"/>
      <c r="B26" s="158" t="s">
        <v>243</v>
      </c>
      <c r="C26" s="62"/>
      <c r="D26" s="109"/>
      <c r="E26" s="110">
        <v>336861.75667854981</v>
      </c>
      <c r="F26" s="110">
        <v>1972.0066785498916</v>
      </c>
      <c r="G26" s="110"/>
      <c r="H26" s="110"/>
      <c r="I26" s="109">
        <v>318923</v>
      </c>
      <c r="J26" s="109"/>
      <c r="K26" s="110">
        <v>133738.39417315752</v>
      </c>
      <c r="L26" s="110">
        <v>962.09417315753626</v>
      </c>
      <c r="M26" s="110"/>
      <c r="N26" s="110"/>
      <c r="O26" s="109"/>
      <c r="P26" s="109"/>
      <c r="Q26" s="110">
        <v>226164.29098565751</v>
      </c>
      <c r="R26" s="110">
        <v>6651.1109856575431</v>
      </c>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7083197.9100000001</v>
      </c>
      <c r="E27" s="110">
        <v>7114682.1062923139</v>
      </c>
      <c r="F27" s="110">
        <v>31484.196292313882</v>
      </c>
      <c r="G27" s="110"/>
      <c r="H27" s="110"/>
      <c r="I27" s="109">
        <v>6882685</v>
      </c>
      <c r="J27" s="109">
        <v>3573166.01</v>
      </c>
      <c r="K27" s="110">
        <v>3610221.4122944456</v>
      </c>
      <c r="L27" s="110">
        <v>37055.402294445928</v>
      </c>
      <c r="M27" s="110"/>
      <c r="N27" s="110"/>
      <c r="O27" s="109"/>
      <c r="P27" s="109">
        <v>6508497.3499999987</v>
      </c>
      <c r="Q27" s="110">
        <v>6720770.0581574235</v>
      </c>
      <c r="R27" s="110">
        <v>212272.70815742438</v>
      </c>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61240251.550000004</v>
      </c>
      <c r="AT27" s="113"/>
      <c r="AU27" s="113"/>
      <c r="AV27" s="314"/>
      <c r="AW27" s="318"/>
    </row>
    <row r="28" spans="1:49" s="5" customFormat="1" x14ac:dyDescent="0.2">
      <c r="A28" s="35"/>
      <c r="B28" s="158" t="s">
        <v>245</v>
      </c>
      <c r="C28" s="62"/>
      <c r="D28" s="109">
        <v>1048362.48</v>
      </c>
      <c r="E28" s="110">
        <v>1513735.0438422197</v>
      </c>
      <c r="F28" s="110">
        <v>9290.7138422202152</v>
      </c>
      <c r="G28" s="110"/>
      <c r="H28" s="110"/>
      <c r="I28" s="109">
        <v>1424987</v>
      </c>
      <c r="J28" s="109">
        <v>3713085.9299999997</v>
      </c>
      <c r="K28" s="110">
        <v>548141.19510789332</v>
      </c>
      <c r="L28" s="110">
        <v>4175.6051078933606</v>
      </c>
      <c r="M28" s="110"/>
      <c r="N28" s="110"/>
      <c r="O28" s="109"/>
      <c r="P28" s="109">
        <v>6870887.1999999993</v>
      </c>
      <c r="Q28" s="110">
        <v>1167028.372845836</v>
      </c>
      <c r="R28" s="110">
        <v>29111.002845835807</v>
      </c>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278738.57999999996</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451424.10330000013</v>
      </c>
      <c r="E30" s="110">
        <v>605624.35310413491</v>
      </c>
      <c r="F30" s="110">
        <v>4634.1226041346772</v>
      </c>
      <c r="G30" s="110"/>
      <c r="H30" s="110"/>
      <c r="I30" s="109">
        <v>523954</v>
      </c>
      <c r="J30" s="109">
        <v>170614.98129999984</v>
      </c>
      <c r="K30" s="110">
        <v>245146.44934396769</v>
      </c>
      <c r="L30" s="110">
        <v>17246.125243967839</v>
      </c>
      <c r="M30" s="110"/>
      <c r="N30" s="110"/>
      <c r="O30" s="109"/>
      <c r="P30" s="109">
        <v>-270076.89819999988</v>
      </c>
      <c r="Q30" s="110">
        <v>-152524.04952455228</v>
      </c>
      <c r="R30" s="110">
        <v>-1628.8813245524477</v>
      </c>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13205274.310000001</v>
      </c>
      <c r="AT30" s="113">
        <v>5632.8270110000003</v>
      </c>
      <c r="AU30" s="113"/>
      <c r="AV30" s="113"/>
      <c r="AW30" s="318"/>
    </row>
    <row r="31" spans="1:49" x14ac:dyDescent="0.2">
      <c r="B31" s="158" t="s">
        <v>248</v>
      </c>
      <c r="C31" s="62"/>
      <c r="D31" s="109">
        <v>1252653.5527999999</v>
      </c>
      <c r="E31" s="110">
        <v>22986.411870744909</v>
      </c>
      <c r="F31" s="110">
        <v>14605.869070744911</v>
      </c>
      <c r="G31" s="110"/>
      <c r="H31" s="110"/>
      <c r="I31" s="109"/>
      <c r="J31" s="109">
        <v>85.307199999999995</v>
      </c>
      <c r="K31" s="110">
        <v>23124.218015353686</v>
      </c>
      <c r="L31" s="110">
        <v>23038.910815353687</v>
      </c>
      <c r="M31" s="110"/>
      <c r="N31" s="110"/>
      <c r="O31" s="109"/>
      <c r="P31" s="109"/>
      <c r="Q31" s="110">
        <v>104168.99794387459</v>
      </c>
      <c r="R31" s="110">
        <v>104168.99794387459</v>
      </c>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8040796.9480294315</v>
      </c>
      <c r="F34" s="110">
        <v>61925.558029433203</v>
      </c>
      <c r="G34" s="110"/>
      <c r="H34" s="110"/>
      <c r="I34" s="109">
        <v>7465638</v>
      </c>
      <c r="J34" s="109"/>
      <c r="K34" s="110">
        <v>3568268.9037559046</v>
      </c>
      <c r="L34" s="110">
        <v>28787.2737559048</v>
      </c>
      <c r="M34" s="110"/>
      <c r="N34" s="110"/>
      <c r="O34" s="109"/>
      <c r="P34" s="109"/>
      <c r="Q34" s="110">
        <v>6813624.2495244704</v>
      </c>
      <c r="R34" s="110">
        <v>199063.37952447167</v>
      </c>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404318.58000000007</v>
      </c>
      <c r="E35" s="110">
        <v>19832980.438365489</v>
      </c>
      <c r="F35" s="110">
        <v>2523.8683654875849</v>
      </c>
      <c r="G35" s="110"/>
      <c r="H35" s="110"/>
      <c r="I35" s="109">
        <v>19809150</v>
      </c>
      <c r="J35" s="109">
        <v>146351.04000000001</v>
      </c>
      <c r="K35" s="110">
        <v>170412.66222204673</v>
      </c>
      <c r="L35" s="110">
        <v>1223.8322220467187</v>
      </c>
      <c r="M35" s="110"/>
      <c r="N35" s="110"/>
      <c r="O35" s="109"/>
      <c r="P35" s="109">
        <v>305450.98000000004</v>
      </c>
      <c r="Q35" s="110">
        <v>313507.32356473332</v>
      </c>
      <c r="R35" s="110">
        <v>8056.0235647333502</v>
      </c>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2380073.44</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1794430</v>
      </c>
      <c r="E37" s="118">
        <v>1798875.94</v>
      </c>
      <c r="F37" s="118">
        <v>4449.99</v>
      </c>
      <c r="G37" s="118"/>
      <c r="H37" s="118"/>
      <c r="I37" s="117">
        <v>1676477</v>
      </c>
      <c r="J37" s="117">
        <v>1369917</v>
      </c>
      <c r="K37" s="118">
        <v>1378430.27</v>
      </c>
      <c r="L37" s="118">
        <v>8516.18</v>
      </c>
      <c r="M37" s="118"/>
      <c r="N37" s="118"/>
      <c r="O37" s="117"/>
      <c r="P37" s="117">
        <v>2329326</v>
      </c>
      <c r="Q37" s="118">
        <v>2361238.5299999998</v>
      </c>
      <c r="R37" s="118">
        <v>31918.9</v>
      </c>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46823995</v>
      </c>
      <c r="AT37" s="119"/>
      <c r="AU37" s="119"/>
      <c r="AV37" s="119"/>
      <c r="AW37" s="317"/>
    </row>
    <row r="38" spans="1:49" x14ac:dyDescent="0.2">
      <c r="B38" s="155" t="s">
        <v>255</v>
      </c>
      <c r="C38" s="62" t="s">
        <v>16</v>
      </c>
      <c r="D38" s="109">
        <v>307703</v>
      </c>
      <c r="E38" s="110">
        <v>309971.83999999979</v>
      </c>
      <c r="F38" s="110">
        <v>2270.73</v>
      </c>
      <c r="G38" s="110"/>
      <c r="H38" s="110"/>
      <c r="I38" s="109">
        <v>292044</v>
      </c>
      <c r="J38" s="109">
        <v>425074</v>
      </c>
      <c r="K38" s="110">
        <v>429012.40999999986</v>
      </c>
      <c r="L38" s="110">
        <v>3940.8200000000006</v>
      </c>
      <c r="M38" s="110"/>
      <c r="N38" s="110"/>
      <c r="O38" s="109"/>
      <c r="P38" s="109">
        <v>699049</v>
      </c>
      <c r="Q38" s="110">
        <v>718505.99000000022</v>
      </c>
      <c r="R38" s="110">
        <v>19461.230000000003</v>
      </c>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16223412</v>
      </c>
      <c r="AT38" s="113"/>
      <c r="AU38" s="113"/>
      <c r="AV38" s="113"/>
      <c r="AW38" s="318"/>
    </row>
    <row r="39" spans="1:49" x14ac:dyDescent="0.2">
      <c r="B39" s="158" t="s">
        <v>256</v>
      </c>
      <c r="C39" s="62" t="s">
        <v>17</v>
      </c>
      <c r="D39" s="109">
        <v>622245</v>
      </c>
      <c r="E39" s="110">
        <v>623119.84000000008</v>
      </c>
      <c r="F39" s="110">
        <v>875.34000000000015</v>
      </c>
      <c r="G39" s="110"/>
      <c r="H39" s="110"/>
      <c r="I39" s="109">
        <v>586022</v>
      </c>
      <c r="J39" s="109">
        <v>440658</v>
      </c>
      <c r="K39" s="110">
        <v>441528.40999999992</v>
      </c>
      <c r="L39" s="110">
        <v>870.59999999999991</v>
      </c>
      <c r="M39" s="110"/>
      <c r="N39" s="110"/>
      <c r="O39" s="109"/>
      <c r="P39" s="109">
        <v>745574</v>
      </c>
      <c r="Q39" s="110">
        <v>749947.23</v>
      </c>
      <c r="R39" s="110">
        <v>4374.8</v>
      </c>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5699524</v>
      </c>
      <c r="AT39" s="113"/>
      <c r="AU39" s="113"/>
      <c r="AV39" s="113"/>
      <c r="AW39" s="318"/>
    </row>
    <row r="40" spans="1:49" x14ac:dyDescent="0.2">
      <c r="B40" s="158" t="s">
        <v>257</v>
      </c>
      <c r="C40" s="62" t="s">
        <v>38</v>
      </c>
      <c r="D40" s="109">
        <v>918772</v>
      </c>
      <c r="E40" s="110">
        <v>919857.93</v>
      </c>
      <c r="F40" s="110">
        <v>1086.27</v>
      </c>
      <c r="G40" s="110"/>
      <c r="H40" s="110"/>
      <c r="I40" s="109">
        <v>739826</v>
      </c>
      <c r="J40" s="109">
        <v>2950076</v>
      </c>
      <c r="K40" s="110">
        <v>2967154.93</v>
      </c>
      <c r="L40" s="110">
        <v>17079.610000000004</v>
      </c>
      <c r="M40" s="110"/>
      <c r="N40" s="110"/>
      <c r="O40" s="109"/>
      <c r="P40" s="109">
        <v>5898334</v>
      </c>
      <c r="Q40" s="110">
        <v>6122297.7399999993</v>
      </c>
      <c r="R40" s="110">
        <v>223967.08000000002</v>
      </c>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22374297</v>
      </c>
      <c r="AT40" s="113"/>
      <c r="AU40" s="113"/>
      <c r="AV40" s="113"/>
      <c r="AW40" s="318"/>
    </row>
    <row r="41" spans="1:49" s="5" customFormat="1" ht="25.5" x14ac:dyDescent="0.2">
      <c r="A41" s="35"/>
      <c r="B41" s="158" t="s">
        <v>258</v>
      </c>
      <c r="C41" s="62" t="s">
        <v>129</v>
      </c>
      <c r="D41" s="109">
        <v>446044</v>
      </c>
      <c r="E41" s="110">
        <v>452180.51000000007</v>
      </c>
      <c r="F41" s="110">
        <v>6138</v>
      </c>
      <c r="G41" s="110"/>
      <c r="H41" s="110"/>
      <c r="I41" s="109">
        <v>405081</v>
      </c>
      <c r="J41" s="109">
        <v>269930</v>
      </c>
      <c r="K41" s="110">
        <v>272420.83</v>
      </c>
      <c r="L41" s="110">
        <v>2491.4299999999998</v>
      </c>
      <c r="M41" s="110"/>
      <c r="N41" s="110"/>
      <c r="O41" s="109"/>
      <c r="P41" s="109">
        <v>468137</v>
      </c>
      <c r="Q41" s="110">
        <v>480845.64999999991</v>
      </c>
      <c r="R41" s="110">
        <v>12710.27</v>
      </c>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2923631</v>
      </c>
      <c r="AT41" s="113"/>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5384641</v>
      </c>
      <c r="E44" s="118">
        <v>5422103.3773042355</v>
      </c>
      <c r="F44" s="118">
        <v>37462.377304235604</v>
      </c>
      <c r="G44" s="118"/>
      <c r="H44" s="118"/>
      <c r="I44" s="117">
        <v>5140483</v>
      </c>
      <c r="J44" s="117">
        <v>3636074</v>
      </c>
      <c r="K44" s="118">
        <v>3661577.6462426158</v>
      </c>
      <c r="L44" s="118">
        <v>25503.646242615745</v>
      </c>
      <c r="M44" s="118"/>
      <c r="N44" s="118"/>
      <c r="O44" s="117"/>
      <c r="P44" s="117">
        <v>7829878</v>
      </c>
      <c r="Q44" s="118">
        <v>7953831.4142398713</v>
      </c>
      <c r="R44" s="118">
        <v>123953.41423987095</v>
      </c>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39273829</v>
      </c>
      <c r="AT44" s="119"/>
      <c r="AU44" s="119"/>
      <c r="AV44" s="119"/>
      <c r="AW44" s="317"/>
    </row>
    <row r="45" spans="1:49" x14ac:dyDescent="0.2">
      <c r="B45" s="161" t="s">
        <v>262</v>
      </c>
      <c r="C45" s="62" t="s">
        <v>19</v>
      </c>
      <c r="D45" s="109">
        <v>6013779</v>
      </c>
      <c r="E45" s="110">
        <v>6054183.3656462831</v>
      </c>
      <c r="F45" s="110">
        <v>40404.365646283048</v>
      </c>
      <c r="G45" s="110"/>
      <c r="H45" s="110"/>
      <c r="I45" s="109">
        <v>5725337</v>
      </c>
      <c r="J45" s="109">
        <v>3730964</v>
      </c>
      <c r="K45" s="110">
        <v>3764629.1746118972</v>
      </c>
      <c r="L45" s="110">
        <v>33665.174611897237</v>
      </c>
      <c r="M45" s="110"/>
      <c r="N45" s="110"/>
      <c r="O45" s="109"/>
      <c r="P45" s="109">
        <v>11078379</v>
      </c>
      <c r="Q45" s="110">
        <v>11529266.134075815</v>
      </c>
      <c r="R45" s="110">
        <v>450887.13407581556</v>
      </c>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23572358</v>
      </c>
      <c r="AT45" s="113"/>
      <c r="AU45" s="113"/>
      <c r="AV45" s="113"/>
      <c r="AW45" s="318"/>
    </row>
    <row r="46" spans="1:49" x14ac:dyDescent="0.2">
      <c r="B46" s="161" t="s">
        <v>263</v>
      </c>
      <c r="C46" s="62" t="s">
        <v>20</v>
      </c>
      <c r="D46" s="109">
        <v>6953774</v>
      </c>
      <c r="E46" s="110">
        <v>7001809.35486311</v>
      </c>
      <c r="F46" s="110">
        <v>48035.354863109998</v>
      </c>
      <c r="G46" s="110"/>
      <c r="H46" s="110"/>
      <c r="I46" s="109">
        <v>6633202</v>
      </c>
      <c r="J46" s="109">
        <v>1711518</v>
      </c>
      <c r="K46" s="110">
        <v>1730706.0362687183</v>
      </c>
      <c r="L46" s="110">
        <v>19188.036268718231</v>
      </c>
      <c r="M46" s="110"/>
      <c r="N46" s="110"/>
      <c r="O46" s="109"/>
      <c r="P46" s="109">
        <v>3852757</v>
      </c>
      <c r="Q46" s="110">
        <v>3944854.9845897756</v>
      </c>
      <c r="R46" s="110">
        <v>92097.984589775704</v>
      </c>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79128660</v>
      </c>
      <c r="AT46" s="113"/>
      <c r="AU46" s="113"/>
      <c r="AV46" s="113"/>
      <c r="AW46" s="318"/>
    </row>
    <row r="47" spans="1:49" x14ac:dyDescent="0.2">
      <c r="B47" s="161" t="s">
        <v>264</v>
      </c>
      <c r="C47" s="62" t="s">
        <v>21</v>
      </c>
      <c r="D47" s="109">
        <v>30838293</v>
      </c>
      <c r="E47" s="110">
        <v>30955067.097270861</v>
      </c>
      <c r="F47" s="110">
        <v>116774.09727086118</v>
      </c>
      <c r="G47" s="110"/>
      <c r="H47" s="110"/>
      <c r="I47" s="109">
        <v>29574687</v>
      </c>
      <c r="J47" s="109">
        <v>14611918</v>
      </c>
      <c r="K47" s="110">
        <v>14673200.11196593</v>
      </c>
      <c r="L47" s="110">
        <v>61282.111965929384</v>
      </c>
      <c r="M47" s="110"/>
      <c r="N47" s="110"/>
      <c r="O47" s="109"/>
      <c r="P47" s="109">
        <v>14954393</v>
      </c>
      <c r="Q47" s="110">
        <v>15076766.128653064</v>
      </c>
      <c r="R47" s="110">
        <v>122373.12865306402</v>
      </c>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24193396</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1301306.5238999997</v>
      </c>
      <c r="E49" s="110">
        <v>-303282.14002054848</v>
      </c>
      <c r="F49" s="110">
        <v>387.43327945151634</v>
      </c>
      <c r="G49" s="110"/>
      <c r="H49" s="110"/>
      <c r="I49" s="109">
        <v>-296910</v>
      </c>
      <c r="J49" s="109">
        <v>467089.55149999994</v>
      </c>
      <c r="K49" s="110">
        <v>-136785.0085295522</v>
      </c>
      <c r="L49" s="110">
        <v>-20613.837229552137</v>
      </c>
      <c r="M49" s="110"/>
      <c r="N49" s="110"/>
      <c r="O49" s="109"/>
      <c r="P49" s="109">
        <v>1300514.0182</v>
      </c>
      <c r="Q49" s="110">
        <v>112444.05343689449</v>
      </c>
      <c r="R49" s="110">
        <v>32216.305236894441</v>
      </c>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12574829.110000003</v>
      </c>
      <c r="AT49" s="113">
        <v>-5632.8370110000005</v>
      </c>
      <c r="AU49" s="113"/>
      <c r="AV49" s="113"/>
      <c r="AW49" s="318"/>
    </row>
    <row r="50" spans="2:49" ht="25.5" x14ac:dyDescent="0.2">
      <c r="B50" s="155" t="s">
        <v>266</v>
      </c>
      <c r="C50" s="62"/>
      <c r="D50" s="109">
        <v>22045.91</v>
      </c>
      <c r="E50" s="110">
        <v>22211.045218449475</v>
      </c>
      <c r="F50" s="110">
        <v>165.13521844947499</v>
      </c>
      <c r="G50" s="110"/>
      <c r="H50" s="110"/>
      <c r="I50" s="109">
        <v>20030</v>
      </c>
      <c r="J50" s="109">
        <v>8605.61</v>
      </c>
      <c r="K50" s="110">
        <v>8684.1566822365712</v>
      </c>
      <c r="L50" s="110">
        <v>78.546682236570931</v>
      </c>
      <c r="M50" s="110"/>
      <c r="N50" s="110"/>
      <c r="O50" s="109"/>
      <c r="P50" s="109">
        <v>18116.260000000002</v>
      </c>
      <c r="Q50" s="110">
        <v>18544.608200538845</v>
      </c>
      <c r="R50" s="110">
        <v>428.348200538843</v>
      </c>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148540.66999999998</v>
      </c>
      <c r="AT50" s="113"/>
      <c r="AU50" s="113"/>
      <c r="AV50" s="113"/>
      <c r="AW50" s="318"/>
    </row>
    <row r="51" spans="2:49" x14ac:dyDescent="0.2">
      <c r="B51" s="155" t="s">
        <v>267</v>
      </c>
      <c r="C51" s="62"/>
      <c r="D51" s="109">
        <v>43194283</v>
      </c>
      <c r="E51" s="110">
        <v>43546946.441555783</v>
      </c>
      <c r="F51" s="110">
        <v>352663.44155577943</v>
      </c>
      <c r="G51" s="110"/>
      <c r="H51" s="110"/>
      <c r="I51" s="109">
        <v>40789458</v>
      </c>
      <c r="J51" s="109">
        <v>16588103</v>
      </c>
      <c r="K51" s="110">
        <v>16764711.242478363</v>
      </c>
      <c r="L51" s="110">
        <v>176608.2424783624</v>
      </c>
      <c r="M51" s="110"/>
      <c r="N51" s="110"/>
      <c r="O51" s="109"/>
      <c r="P51" s="109">
        <v>34284585</v>
      </c>
      <c r="Q51" s="110">
        <v>35182194.149915054</v>
      </c>
      <c r="R51" s="110">
        <v>897609.14991505491</v>
      </c>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229794308</v>
      </c>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142078</v>
      </c>
      <c r="E56" s="122">
        <v>137910</v>
      </c>
      <c r="F56" s="122"/>
      <c r="G56" s="122"/>
      <c r="H56" s="122"/>
      <c r="I56" s="121">
        <v>133446</v>
      </c>
      <c r="J56" s="121">
        <v>54093</v>
      </c>
      <c r="K56" s="122">
        <v>52775</v>
      </c>
      <c r="L56" s="122"/>
      <c r="M56" s="122"/>
      <c r="N56" s="122"/>
      <c r="O56" s="121"/>
      <c r="P56" s="121">
        <v>67876</v>
      </c>
      <c r="Q56" s="122">
        <v>68055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592864</v>
      </c>
      <c r="AT56" s="123"/>
      <c r="AU56" s="123"/>
      <c r="AV56" s="123"/>
      <c r="AW56" s="309"/>
    </row>
    <row r="57" spans="2:49" x14ac:dyDescent="0.2">
      <c r="B57" s="161" t="s">
        <v>273</v>
      </c>
      <c r="C57" s="62" t="s">
        <v>25</v>
      </c>
      <c r="D57" s="124">
        <v>204597</v>
      </c>
      <c r="E57" s="125">
        <v>197927</v>
      </c>
      <c r="F57" s="125">
        <v>729</v>
      </c>
      <c r="G57" s="125"/>
      <c r="H57" s="125"/>
      <c r="I57" s="124">
        <v>190589</v>
      </c>
      <c r="J57" s="124">
        <v>79349</v>
      </c>
      <c r="K57" s="125">
        <v>77494</v>
      </c>
      <c r="L57" s="125">
        <v>217</v>
      </c>
      <c r="M57" s="125"/>
      <c r="N57" s="125"/>
      <c r="O57" s="124"/>
      <c r="P57" s="124">
        <v>105583</v>
      </c>
      <c r="Q57" s="125">
        <v>109553</v>
      </c>
      <c r="R57" s="125">
        <v>2639</v>
      </c>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618634</v>
      </c>
      <c r="AT57" s="126"/>
      <c r="AU57" s="126"/>
      <c r="AV57" s="126"/>
      <c r="AW57" s="310"/>
    </row>
    <row r="58" spans="2:49" x14ac:dyDescent="0.2">
      <c r="B58" s="161" t="s">
        <v>274</v>
      </c>
      <c r="C58" s="62" t="s">
        <v>26</v>
      </c>
      <c r="D58" s="330"/>
      <c r="E58" s="331"/>
      <c r="F58" s="331"/>
      <c r="G58" s="331"/>
      <c r="H58" s="331"/>
      <c r="I58" s="330"/>
      <c r="J58" s="124">
        <v>5090</v>
      </c>
      <c r="K58" s="125">
        <v>5090</v>
      </c>
      <c r="L58" s="125"/>
      <c r="M58" s="125"/>
      <c r="N58" s="125"/>
      <c r="O58" s="124"/>
      <c r="P58" s="124">
        <v>154</v>
      </c>
      <c r="Q58" s="125">
        <v>154</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37</v>
      </c>
      <c r="AT58" s="126"/>
      <c r="AU58" s="126"/>
      <c r="AV58" s="126"/>
      <c r="AW58" s="310"/>
    </row>
    <row r="59" spans="2:49" x14ac:dyDescent="0.2">
      <c r="B59" s="161" t="s">
        <v>275</v>
      </c>
      <c r="C59" s="62" t="s">
        <v>27</v>
      </c>
      <c r="D59" s="124">
        <v>2055556</v>
      </c>
      <c r="E59" s="125">
        <v>1990616</v>
      </c>
      <c r="F59" s="125">
        <v>13654</v>
      </c>
      <c r="G59" s="125"/>
      <c r="H59" s="125"/>
      <c r="I59" s="124">
        <v>1885564</v>
      </c>
      <c r="J59" s="124">
        <v>772136</v>
      </c>
      <c r="K59" s="125">
        <v>764794</v>
      </c>
      <c r="L59" s="125">
        <v>6926</v>
      </c>
      <c r="M59" s="125"/>
      <c r="N59" s="125"/>
      <c r="O59" s="124"/>
      <c r="P59" s="124">
        <v>1257953</v>
      </c>
      <c r="Q59" s="125">
        <v>1310790</v>
      </c>
      <c r="R59" s="125">
        <v>36747</v>
      </c>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5698948</v>
      </c>
      <c r="AT59" s="126"/>
      <c r="AU59" s="126"/>
      <c r="AV59" s="126"/>
      <c r="AW59" s="310"/>
    </row>
    <row r="60" spans="2:49" x14ac:dyDescent="0.2">
      <c r="B60" s="161" t="s">
        <v>276</v>
      </c>
      <c r="C60" s="62"/>
      <c r="D60" s="127">
        <f t="shared" ref="D60:AC60" si="0">D$59/12</f>
        <v>171296.33333333334</v>
      </c>
      <c r="E60" s="128">
        <f t="shared" si="0"/>
        <v>165884.66666666666</v>
      </c>
      <c r="F60" s="128">
        <f t="shared" si="0"/>
        <v>1137.8333333333333</v>
      </c>
      <c r="G60" s="128">
        <f t="shared" si="0"/>
        <v>0</v>
      </c>
      <c r="H60" s="128">
        <f t="shared" si="0"/>
        <v>0</v>
      </c>
      <c r="I60" s="127">
        <f t="shared" si="0"/>
        <v>157130.33333333334</v>
      </c>
      <c r="J60" s="127">
        <f t="shared" si="0"/>
        <v>64344.666666666664</v>
      </c>
      <c r="K60" s="128">
        <f t="shared" si="0"/>
        <v>63732.833333333336</v>
      </c>
      <c r="L60" s="128">
        <f t="shared" si="0"/>
        <v>577.16666666666663</v>
      </c>
      <c r="M60" s="128">
        <f t="shared" si="0"/>
        <v>0</v>
      </c>
      <c r="N60" s="128">
        <f t="shared" si="0"/>
        <v>0</v>
      </c>
      <c r="O60" s="127">
        <f t="shared" si="0"/>
        <v>0</v>
      </c>
      <c r="P60" s="127">
        <f t="shared" si="0"/>
        <v>104829.41666666667</v>
      </c>
      <c r="Q60" s="128">
        <f t="shared" si="0"/>
        <v>109232.5</v>
      </c>
      <c r="R60" s="128">
        <f t="shared" si="0"/>
        <v>3062.25</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474912.33333333331</v>
      </c>
      <c r="AT60" s="129">
        <f>AT$59/12</f>
        <v>0</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48828467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22148088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G19" activePane="bottomRight" state="frozen"/>
      <selection activeCell="B1" sqref="B1"/>
      <selection pane="topRight" activeCell="B1" sqref="B1"/>
      <selection pane="bottomLeft" activeCell="B1" sqref="B1"/>
      <selection pane="bottomRight" activeCell="Q24" sqref="Q2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571237925</v>
      </c>
      <c r="E5" s="118">
        <v>614620857.23603058</v>
      </c>
      <c r="F5" s="118">
        <v>2538578.92</v>
      </c>
      <c r="G5" s="130"/>
      <c r="H5" s="130"/>
      <c r="I5" s="117">
        <v>595157890</v>
      </c>
      <c r="J5" s="117">
        <v>278758514</v>
      </c>
      <c r="K5" s="118">
        <v>287535172.75290811</v>
      </c>
      <c r="L5" s="118">
        <v>3327179.17</v>
      </c>
      <c r="M5" s="118"/>
      <c r="N5" s="118"/>
      <c r="O5" s="117"/>
      <c r="P5" s="117">
        <v>535419682</v>
      </c>
      <c r="Q5" s="118">
        <v>556857009.04470897</v>
      </c>
      <c r="R5" s="118">
        <v>17060862.009999998</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5226700455</v>
      </c>
      <c r="AT5" s="119">
        <v>267891</v>
      </c>
      <c r="AU5" s="119"/>
      <c r="AV5" s="312"/>
      <c r="AW5" s="317"/>
    </row>
    <row r="6" spans="2:49" x14ac:dyDescent="0.2">
      <c r="B6" s="176" t="s">
        <v>279</v>
      </c>
      <c r="C6" s="133" t="s">
        <v>8</v>
      </c>
      <c r="D6" s="109">
        <v>2131</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4265.2200000003213</v>
      </c>
      <c r="E9" s="288"/>
      <c r="F9" s="288"/>
      <c r="G9" s="288"/>
      <c r="H9" s="288"/>
      <c r="I9" s="292"/>
      <c r="J9" s="109">
        <v>-4265.7200000001503</v>
      </c>
      <c r="K9" s="288"/>
      <c r="L9" s="288"/>
      <c r="M9" s="288"/>
      <c r="N9" s="288"/>
      <c r="O9" s="292"/>
      <c r="P9" s="109">
        <v>1503930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v>-686925.67</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-2805006</v>
      </c>
      <c r="E11" s="110"/>
      <c r="F11" s="110"/>
      <c r="G11" s="110"/>
      <c r="H11" s="110"/>
      <c r="I11" s="109"/>
      <c r="J11" s="109"/>
      <c r="K11" s="110"/>
      <c r="L11" s="110"/>
      <c r="M11" s="110"/>
      <c r="N11" s="110"/>
      <c r="O11" s="109"/>
      <c r="P11" s="109">
        <v>-2703593</v>
      </c>
      <c r="Q11" s="110">
        <v>-4175749.74</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46440123</v>
      </c>
      <c r="AT11" s="113"/>
      <c r="AU11" s="113"/>
      <c r="AV11" s="311"/>
      <c r="AW11" s="318"/>
    </row>
    <row r="12" spans="2:49" x14ac:dyDescent="0.2">
      <c r="B12" s="176" t="s">
        <v>283</v>
      </c>
      <c r="C12" s="133" t="s">
        <v>44</v>
      </c>
      <c r="D12" s="109">
        <v>-0.32000000006519258</v>
      </c>
      <c r="E12" s="289"/>
      <c r="F12" s="289"/>
      <c r="G12" s="289"/>
      <c r="H12" s="289"/>
      <c r="I12" s="293"/>
      <c r="J12" s="109">
        <v>-0.16000000014901161</v>
      </c>
      <c r="K12" s="289"/>
      <c r="L12" s="289"/>
      <c r="M12" s="289"/>
      <c r="N12" s="289"/>
      <c r="O12" s="293"/>
      <c r="P12" s="109">
        <v>1200000.0200000003</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47626519</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119899412.27000004</v>
      </c>
      <c r="F15" s="110"/>
      <c r="G15" s="110"/>
      <c r="H15" s="110"/>
      <c r="I15" s="109">
        <v>119899412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-80860989.319999993</v>
      </c>
      <c r="F16" s="110"/>
      <c r="G16" s="110"/>
      <c r="H16" s="110"/>
      <c r="I16" s="109">
        <v>-80860989</v>
      </c>
      <c r="J16" s="109"/>
      <c r="K16" s="110">
        <v>-6552473.4400000004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28586273</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441223408.74000001</v>
      </c>
      <c r="F20" s="110"/>
      <c r="G20" s="110"/>
      <c r="H20" s="110"/>
      <c r="I20" s="109">
        <v>441223409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476222854</v>
      </c>
      <c r="E23" s="288"/>
      <c r="F23" s="288"/>
      <c r="G23" s="288"/>
      <c r="H23" s="288"/>
      <c r="I23" s="292"/>
      <c r="J23" s="109">
        <v>211245389</v>
      </c>
      <c r="K23" s="288"/>
      <c r="L23" s="288"/>
      <c r="M23" s="288"/>
      <c r="N23" s="288"/>
      <c r="O23" s="292"/>
      <c r="P23" s="109">
        <v>462911756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4246495699</v>
      </c>
      <c r="AT23" s="113">
        <v>13684</v>
      </c>
      <c r="AU23" s="113"/>
      <c r="AV23" s="311"/>
      <c r="AW23" s="318"/>
    </row>
    <row r="24" spans="2:49" ht="28.5" customHeight="1" x14ac:dyDescent="0.2">
      <c r="B24" s="178" t="s">
        <v>114</v>
      </c>
      <c r="C24" s="133"/>
      <c r="D24" s="293"/>
      <c r="E24" s="110">
        <v>632629700.40999997</v>
      </c>
      <c r="F24" s="110">
        <v>1273091.76</v>
      </c>
      <c r="G24" s="110"/>
      <c r="H24" s="110"/>
      <c r="I24" s="109">
        <v>621597111</v>
      </c>
      <c r="J24" s="293"/>
      <c r="K24" s="110">
        <v>225097693.64999989</v>
      </c>
      <c r="L24" s="110">
        <v>1277460.3999999997</v>
      </c>
      <c r="M24" s="110"/>
      <c r="N24" s="110"/>
      <c r="O24" s="109"/>
      <c r="P24" s="293"/>
      <c r="Q24" s="110">
        <v>488415547.57999998</v>
      </c>
      <c r="R24" s="110">
        <v>15523390.620000003</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88155951</v>
      </c>
      <c r="E26" s="288"/>
      <c r="F26" s="288"/>
      <c r="G26" s="288"/>
      <c r="H26" s="288"/>
      <c r="I26" s="292"/>
      <c r="J26" s="109">
        <v>24405464</v>
      </c>
      <c r="K26" s="288"/>
      <c r="L26" s="288"/>
      <c r="M26" s="288"/>
      <c r="N26" s="288"/>
      <c r="O26" s="292"/>
      <c r="P26" s="109">
        <v>45376873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686998992</v>
      </c>
      <c r="AT26" s="113"/>
      <c r="AU26" s="113"/>
      <c r="AV26" s="311"/>
      <c r="AW26" s="318"/>
    </row>
    <row r="27" spans="2:49" s="5" customFormat="1" ht="25.5" x14ac:dyDescent="0.2">
      <c r="B27" s="178" t="s">
        <v>85</v>
      </c>
      <c r="C27" s="133"/>
      <c r="D27" s="293"/>
      <c r="E27" s="110">
        <v>16205918.291200003</v>
      </c>
      <c r="F27" s="110">
        <v>22893.906000000003</v>
      </c>
      <c r="G27" s="110"/>
      <c r="H27" s="110"/>
      <c r="I27" s="109">
        <v>16189470</v>
      </c>
      <c r="J27" s="293"/>
      <c r="K27" s="110">
        <v>3469099.6532338276</v>
      </c>
      <c r="L27" s="110">
        <v>287539.4865</v>
      </c>
      <c r="M27" s="110"/>
      <c r="N27" s="110"/>
      <c r="O27" s="109"/>
      <c r="P27" s="293"/>
      <c r="Q27" s="110">
        <v>7564366.7265309338</v>
      </c>
      <c r="R27" s="110">
        <v>456921.91530000005</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1250053</v>
      </c>
      <c r="E28" s="289"/>
      <c r="F28" s="289"/>
      <c r="G28" s="289"/>
      <c r="H28" s="289"/>
      <c r="I28" s="293"/>
      <c r="J28" s="109">
        <v>14682115</v>
      </c>
      <c r="K28" s="289"/>
      <c r="L28" s="289"/>
      <c r="M28" s="289"/>
      <c r="N28" s="289"/>
      <c r="O28" s="293"/>
      <c r="P28" s="109">
        <v>46677934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795053657</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116091</v>
      </c>
      <c r="K30" s="288"/>
      <c r="L30" s="288"/>
      <c r="M30" s="288"/>
      <c r="N30" s="288"/>
      <c r="O30" s="292"/>
      <c r="P30" s="109">
        <v>40909</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116090.8</v>
      </c>
      <c r="L31" s="110"/>
      <c r="M31" s="110"/>
      <c r="N31" s="110"/>
      <c r="O31" s="109"/>
      <c r="P31" s="293"/>
      <c r="Q31" s="110">
        <v>-74090.8</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115000</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5254295</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5254295</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5306066</v>
      </c>
      <c r="E36" s="110">
        <v>5306066</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419027</v>
      </c>
      <c r="E38" s="288"/>
      <c r="F38" s="288"/>
      <c r="G38" s="288"/>
      <c r="H38" s="288"/>
      <c r="I38" s="292"/>
      <c r="J38" s="109">
        <v>4265</v>
      </c>
      <c r="K38" s="288"/>
      <c r="L38" s="288"/>
      <c r="M38" s="288"/>
      <c r="N38" s="288"/>
      <c r="O38" s="292"/>
      <c r="P38" s="109">
        <v>1503930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1625745</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v>-686925.67</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-2805006</v>
      </c>
      <c r="E41" s="288"/>
      <c r="F41" s="288"/>
      <c r="G41" s="288"/>
      <c r="H41" s="288"/>
      <c r="I41" s="292"/>
      <c r="J41" s="109"/>
      <c r="K41" s="288"/>
      <c r="L41" s="288"/>
      <c r="M41" s="288"/>
      <c r="N41" s="288"/>
      <c r="O41" s="292"/>
      <c r="P41" s="109">
        <v>-2703593</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46440123</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v>-4175749.74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649021</v>
      </c>
      <c r="E43" s="289"/>
      <c r="F43" s="289"/>
      <c r="G43" s="289"/>
      <c r="H43" s="289"/>
      <c r="I43" s="293"/>
      <c r="J43" s="109">
        <v>31037</v>
      </c>
      <c r="K43" s="289"/>
      <c r="L43" s="289"/>
      <c r="M43" s="289"/>
      <c r="N43" s="289"/>
      <c r="O43" s="293"/>
      <c r="P43" s="109">
        <v>1204363</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47626519</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1501243</v>
      </c>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624847</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748541</v>
      </c>
      <c r="E49" s="110">
        <v>2562370.1</v>
      </c>
      <c r="F49" s="110"/>
      <c r="G49" s="110"/>
      <c r="H49" s="110"/>
      <c r="I49" s="109">
        <v>2436356</v>
      </c>
      <c r="J49" s="109">
        <v>1266300</v>
      </c>
      <c r="K49" s="110">
        <v>4257794.9308082443</v>
      </c>
      <c r="L49" s="110"/>
      <c r="M49" s="110"/>
      <c r="N49" s="110"/>
      <c r="O49" s="109"/>
      <c r="P49" s="109">
        <v>2304767</v>
      </c>
      <c r="Q49" s="110">
        <v>7335032.0891917506</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20731776</v>
      </c>
      <c r="AT49" s="113"/>
      <c r="AU49" s="113"/>
      <c r="AV49" s="311"/>
      <c r="AW49" s="318"/>
    </row>
    <row r="50" spans="2:49" x14ac:dyDescent="0.2">
      <c r="B50" s="176" t="s">
        <v>119</v>
      </c>
      <c r="C50" s="133" t="s">
        <v>34</v>
      </c>
      <c r="D50" s="109">
        <v>18220</v>
      </c>
      <c r="E50" s="289"/>
      <c r="F50" s="289"/>
      <c r="G50" s="289"/>
      <c r="H50" s="289"/>
      <c r="I50" s="293"/>
      <c r="J50" s="109">
        <v>816743</v>
      </c>
      <c r="K50" s="289"/>
      <c r="L50" s="289"/>
      <c r="M50" s="289"/>
      <c r="N50" s="289"/>
      <c r="O50" s="293"/>
      <c r="P50" s="109">
        <v>1836438</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11718858</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-17367</v>
      </c>
      <c r="L53" s="110">
        <v>947131</v>
      </c>
      <c r="M53" s="110"/>
      <c r="N53" s="110"/>
      <c r="O53" s="109"/>
      <c r="P53" s="109"/>
      <c r="Q53" s="110">
        <v>-128584</v>
      </c>
      <c r="R53" s="110">
        <v>-780807</v>
      </c>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559311660</v>
      </c>
      <c r="E54" s="115">
        <f>E24+E27+E31+E35-E36+E39+E42+E45+E46-E49+E51+E52+E53</f>
        <v>646221477.60119998</v>
      </c>
      <c r="F54" s="115">
        <f>F24+F27+F31+F35-F36+F39+F42+F45+F46-F49+F51+F52+F53</f>
        <v>1295985.666</v>
      </c>
      <c r="G54" s="115">
        <f>G24+G27+G31+G35-G36+G39+G42+G45+G46-G49+G51+G52+G53</f>
        <v>0</v>
      </c>
      <c r="H54" s="115">
        <f>H24+H27+H31+H35-H36+H39+H42+H45+H46-H49+H51+H52+H53</f>
        <v>0</v>
      </c>
      <c r="I54" s="114">
        <f>I24+I27+I31+I35-I36+I39+I42+I45+I46-I49+I51+I52+I53</f>
        <v>635350225</v>
      </c>
      <c r="J54" s="114">
        <f>J23+J26-J28+J30-J32+J34-J36+J38+J41-J43+J45+J46-J47-J49+J50+J51+J52+J53</f>
        <v>220493500</v>
      </c>
      <c r="K54" s="115">
        <f>K24+K27+K31+K35-K36+K39+K42+K45+K46-K49+K51+K52+K53</f>
        <v>224407722.17242548</v>
      </c>
      <c r="L54" s="115">
        <f>L24+L27+L31+L35-L36+L39+L42+L45+L46-L49+L51+L52+L53</f>
        <v>2512130.8864999996</v>
      </c>
      <c r="M54" s="115">
        <f>M24+M27+M31+M35-M36+M39+M42+M45+M46-M49+M51+M52+M53</f>
        <v>0</v>
      </c>
      <c r="N54" s="115">
        <f>N24+N27+N31+N35-N36+N39+N42+N45+N46-N49+N51+N52+N53</f>
        <v>0</v>
      </c>
      <c r="O54" s="114">
        <f>O24+O27+O31+O35-O36+O39+O42+O45+O46-O49+O51+O52+O53</f>
        <v>0</v>
      </c>
      <c r="P54" s="114">
        <f>P23+P26-P28+P30-P32+P34-P36+P38+P41-P43+P45+P46-P47-P49+P50+P51+P52+P53</f>
        <v>458779249</v>
      </c>
      <c r="Q54" s="115">
        <f>Q24+Q27+Q31+Q35-Q36+Q39+Q42+Q45+Q46-Q49+Q51+Q52+Q53</f>
        <v>483579532.00733912</v>
      </c>
      <c r="R54" s="115">
        <f>R24+R27+R31+R35-R36+R39+R42+R45+R46-R49+R51+R52+R53</f>
        <v>15199505.535300003</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4130743861</v>
      </c>
      <c r="AT54" s="116">
        <f>AT23+AT26-AT28+AT30-AT32+AT34-AT36+AT38+AT41-AT43+AT45+AT46-AT47-AT49+AT50+AT51+AT52+AT53</f>
        <v>13684</v>
      </c>
      <c r="AU54" s="116">
        <f>AU23+AU26-AU28+AU30-AU32+AU34-AU36+AU38+AU41-AU43+AU45+AU46-AU47-AU49+AU50+AU51+AU52+AU53</f>
        <v>0</v>
      </c>
      <c r="AV54" s="311"/>
      <c r="AW54" s="318"/>
    </row>
    <row r="55" spans="2:49" ht="25.5" x14ac:dyDescent="0.2">
      <c r="B55" s="181" t="s">
        <v>304</v>
      </c>
      <c r="C55" s="137" t="s">
        <v>28</v>
      </c>
      <c r="D55" s="114">
        <f t="shared" ref="D55:AC55" si="0">MIN(MAX(0,D56),MAX(0,D57))</f>
        <v>156175</v>
      </c>
      <c r="E55" s="115">
        <f t="shared" si="0"/>
        <v>161871.41</v>
      </c>
      <c r="F55" s="115">
        <f t="shared" si="0"/>
        <v>0</v>
      </c>
      <c r="G55" s="115">
        <f t="shared" si="0"/>
        <v>0</v>
      </c>
      <c r="H55" s="115">
        <f t="shared" si="0"/>
        <v>0</v>
      </c>
      <c r="I55" s="114">
        <f t="shared" si="0"/>
        <v>116904</v>
      </c>
      <c r="J55" s="114">
        <f t="shared" si="0"/>
        <v>400189</v>
      </c>
      <c r="K55" s="115">
        <f t="shared" si="0"/>
        <v>400264.28</v>
      </c>
      <c r="L55" s="115">
        <f t="shared" si="0"/>
        <v>0</v>
      </c>
      <c r="M55" s="115">
        <f t="shared" si="0"/>
        <v>0</v>
      </c>
      <c r="N55" s="115">
        <f t="shared" si="0"/>
        <v>0</v>
      </c>
      <c r="O55" s="114">
        <f t="shared" si="0"/>
        <v>0</v>
      </c>
      <c r="P55" s="114">
        <f t="shared" si="0"/>
        <v>1018070</v>
      </c>
      <c r="Q55" s="115">
        <f t="shared" si="0"/>
        <v>1018461.22</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677953</v>
      </c>
      <c r="E56" s="110">
        <v>682635.67</v>
      </c>
      <c r="F56" s="110"/>
      <c r="G56" s="110"/>
      <c r="H56" s="110"/>
      <c r="I56" s="109">
        <v>645607</v>
      </c>
      <c r="J56" s="109">
        <v>400189</v>
      </c>
      <c r="K56" s="110">
        <v>400264.28</v>
      </c>
      <c r="L56" s="110"/>
      <c r="M56" s="110"/>
      <c r="N56" s="110"/>
      <c r="O56" s="109"/>
      <c r="P56" s="109">
        <v>1018070</v>
      </c>
      <c r="Q56" s="110">
        <v>1018461.22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156175</v>
      </c>
      <c r="E57" s="110">
        <v>161871.41</v>
      </c>
      <c r="F57" s="110"/>
      <c r="G57" s="110"/>
      <c r="H57" s="110"/>
      <c r="I57" s="109">
        <v>116904</v>
      </c>
      <c r="J57" s="109">
        <v>442638</v>
      </c>
      <c r="K57" s="110">
        <v>538898.32999999996</v>
      </c>
      <c r="L57" s="110"/>
      <c r="M57" s="110"/>
      <c r="N57" s="110"/>
      <c r="O57" s="109"/>
      <c r="P57" s="109">
        <v>1033295.0000000001</v>
      </c>
      <c r="Q57" s="110">
        <v>1088981.4600000002</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9735463</v>
      </c>
      <c r="AT57" s="113"/>
      <c r="AU57" s="113"/>
      <c r="AV57" s="113"/>
      <c r="AW57" s="318"/>
    </row>
    <row r="58" spans="2:49" s="5" customFormat="1" x14ac:dyDescent="0.2">
      <c r="B58" s="184" t="s">
        <v>484</v>
      </c>
      <c r="C58" s="185"/>
      <c r="D58" s="186"/>
      <c r="E58" s="187">
        <v>97563276.229999989</v>
      </c>
      <c r="F58" s="187"/>
      <c r="G58" s="187"/>
      <c r="H58" s="187"/>
      <c r="I58" s="186">
        <v>97563276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12863349.6</v>
      </c>
      <c r="D5" s="118">
        <v>14573367.610483747</v>
      </c>
      <c r="E5" s="346"/>
      <c r="F5" s="346"/>
      <c r="G5" s="312"/>
      <c r="H5" s="117">
        <v>113575304.92</v>
      </c>
      <c r="I5" s="118">
        <v>118289130.56449802</v>
      </c>
      <c r="J5" s="346"/>
      <c r="K5" s="346"/>
      <c r="L5" s="312"/>
      <c r="M5" s="117">
        <v>455502154.87000006</v>
      </c>
      <c r="N5" s="118">
        <v>446251604.18041831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12902683.959999995</v>
      </c>
      <c r="D6" s="110">
        <v>14590998.642409833</v>
      </c>
      <c r="E6" s="115">
        <f>SUM('Pt 1 Summary of Data'!E$12,'Pt 1 Summary of Data'!E$22)+SUM('Pt 1 Summary of Data'!G$12,'Pt 1 Summary of Data'!G$22)-SUM('Pt 1 Summary of Data'!H$12,'Pt 1 Summary of Data'!H$22)</f>
        <v>646383349.01119995</v>
      </c>
      <c r="F6" s="115">
        <f t="shared" ref="F6:F11" si="0">SUM(C6:E6)</f>
        <v>673877031.61360979</v>
      </c>
      <c r="G6" s="116">
        <f>SUM('Pt 1 Summary of Data'!I$12,'Pt 1 Summary of Data'!I$22)</f>
        <v>635467129</v>
      </c>
      <c r="H6" s="109">
        <v>114246611.06430289</v>
      </c>
      <c r="I6" s="110">
        <v>118008440.28194982</v>
      </c>
      <c r="J6" s="115">
        <f>SUM('Pt 1 Summary of Data'!K$12,'Pt 1 Summary of Data'!K$22)+SUM('Pt 1 Summary of Data'!M$12,'Pt 1 Summary of Data'!M$22)-SUM('Pt 1 Summary of Data'!N$12,'Pt 1 Summary of Data'!N$22)</f>
        <v>224807986.45242548</v>
      </c>
      <c r="K6" s="115">
        <f>SUM(H6:J6)</f>
        <v>457063037.79867816</v>
      </c>
      <c r="L6" s="116">
        <f>SUM('Pt 1 Summary of Data'!O$12,'Pt 1 Summary of Data'!O$22)</f>
        <v>0</v>
      </c>
      <c r="M6" s="109">
        <v>452548075.19569713</v>
      </c>
      <c r="N6" s="110">
        <v>443904594.91103607</v>
      </c>
      <c r="O6" s="115">
        <f>SUM('Pt 1 Summary of Data'!Q$12,'Pt 1 Summary of Data'!Q$22)+SUM('Pt 1 Summary of Data'!S$12,'Pt 1 Summary of Data'!S$22)-SUM('Pt 1 Summary of Data'!T$12,'Pt 1 Summary of Data'!T$22)</f>
        <v>484597993.22733915</v>
      </c>
      <c r="P6" s="115">
        <f>SUM(M6:O6)</f>
        <v>1381050663.3340724</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409084.35</v>
      </c>
      <c r="D7" s="110">
        <v>544416.22</v>
      </c>
      <c r="E7" s="115">
        <f>SUM('Pt 1 Summary of Data'!E$37:E$41)+SUM('Pt 1 Summary of Data'!G$37:G$41)-SUM('Pt 1 Summary of Data'!H$37:H$41)+MAX(0,MIN('Pt 1 Summary of Data'!E$42+'Pt 1 Summary of Data'!G$42-'Pt 1 Summary of Data'!H$42,0.3%*('Pt 1 Summary of Data'!E$5+'Pt 1 Summary of Data'!G$5-'Pt 1 Summary of Data'!H$5-SUM(E$9:E$11))))</f>
        <v>4104006.0600000005</v>
      </c>
      <c r="F7" s="115">
        <f t="shared" si="0"/>
        <v>5057506.6300000008</v>
      </c>
      <c r="G7" s="116">
        <f>SUM('Pt 1 Summary of Data'!I$37:I$41)+MAX(0,MIN('Pt 1 Summary of Data'!I$42,0.3%*('Pt 1 Summary of Data'!I$5-SUM(G$9:G$10))))</f>
        <v>3699450</v>
      </c>
      <c r="H7" s="109">
        <v>3219184.24</v>
      </c>
      <c r="I7" s="110">
        <v>3457282.9299999997</v>
      </c>
      <c r="J7" s="115">
        <f>SUM('Pt 1 Summary of Data'!K$37:K$41)+SUM('Pt 1 Summary of Data'!M$37:M$41)-SUM('Pt 1 Summary of Data'!N$37:N$41)+MAX(0,MIN('Pt 1 Summary of Data'!K$42+'Pt 1 Summary of Data'!M$42-'Pt 1 Summary of Data'!N$42,0.3%*('Pt 1 Summary of Data'!K$5+'Pt 1 Summary of Data'!M$5-'Pt 1 Summary of Data'!N$5-SUM(J$10:J$11))))</f>
        <v>5488546.8499999996</v>
      </c>
      <c r="K7" s="115">
        <f>SUM(H7:J7)</f>
        <v>12165014.02</v>
      </c>
      <c r="L7" s="116">
        <f>SUM('Pt 1 Summary of Data'!O$37:O$41)+MAX(0,MIN('Pt 1 Summary of Data'!O$42,0.3%*('Pt 1 Summary of Data'!O$5-L$10)))</f>
        <v>0</v>
      </c>
      <c r="M7" s="109">
        <v>9767883.1100000013</v>
      </c>
      <c r="N7" s="110">
        <v>9050024.9100000001</v>
      </c>
      <c r="O7" s="115">
        <f>SUM('Pt 1 Summary of Data'!Q$37:Q$41)+SUM('Pt 1 Summary of Data'!S$37:S$41)-SUM('Pt 1 Summary of Data'!T$37:T$41)+MAX(0,MIN('Pt 1 Summary of Data'!Q$42+'Pt 1 Summary of Data'!S$42-'Pt 1 Summary of Data'!T$42,0.3%*('Pt 1 Summary of Data'!Q$5+'Pt 1 Summary of Data'!S$5-'Pt 1 Summary of Data'!T$5)))</f>
        <v>10432835.139999999</v>
      </c>
      <c r="P7" s="115">
        <f>SUM(M7:O7)</f>
        <v>29250743.160000004</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v>97563276.229999989</v>
      </c>
      <c r="F8" s="269">
        <f t="shared" si="0"/>
        <v>97563276.229999989</v>
      </c>
      <c r="G8" s="270">
        <v>97563276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119899412.27000004</v>
      </c>
      <c r="F9" s="115">
        <f t="shared" si="0"/>
        <v>119899412.27000004</v>
      </c>
      <c r="G9" s="116">
        <f>'Pt 2 Premium and Claims'!I$15</f>
        <v>119899412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-80860989.319999993</v>
      </c>
      <c r="F10" s="115">
        <f t="shared" si="0"/>
        <v>-80860989.319999993</v>
      </c>
      <c r="G10" s="116">
        <f>'Pt 2 Premium and Claims'!I$16</f>
        <v>-80860989</v>
      </c>
      <c r="H10" s="292"/>
      <c r="I10" s="288"/>
      <c r="J10" s="115">
        <f>'Pt 2 Premium and Claims'!K$16+'Pt 2 Premium and Claims'!M$16-'Pt 2 Premium and Claims'!N$16</f>
        <v>-6552473.4400000004</v>
      </c>
      <c r="K10" s="115">
        <f>SUM(H10:J10)</f>
        <v>-6552473.4400000004</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28586273</v>
      </c>
      <c r="F11" s="115">
        <f t="shared" si="0"/>
        <v>28586273</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13311768.309999995</v>
      </c>
      <c r="D12" s="115">
        <f>SUM(D$6:D$7)+IF(AND(OR('Company Information'!$C$12="District of Columbia",'Company Information'!$C$12="Massachusetts",'Company Information'!$C$12="Vermont"),SUM($C$6:$F$11,$C$15:$F$16,$C$37:$D$37)&lt;&gt;0),SUM(I$6:I$7),0)</f>
        <v>15135414.862409834</v>
      </c>
      <c r="E12" s="115">
        <f>SUM(E$6:E$7)-SUM(E$8:E$11)+IF(AND(OR('Company Information'!$C$12="District of Columbia",'Company Information'!$C$12="Massachusetts",'Company Information'!$C$12="Vermont"),SUM($C$6:$F$11,$C$15:$F$16,$C$37:$D$37)&lt;&gt;0),SUM(J$6:J$7)-SUM(J$10:J$11),0)</f>
        <v>485299382.89119983</v>
      </c>
      <c r="F12" s="115">
        <f>IFERROR(SUM(C$12:E$12)+C$17*MAX(0,E$49-C$49)+D$17*MAX(0,E$49-D$49),0)</f>
        <v>513746566.06360966</v>
      </c>
      <c r="G12" s="311"/>
      <c r="H12" s="114">
        <f>SUM(H$6:H$7)+IF(AND(OR('Company Information'!$C$12="District of Columbia",'Company Information'!$C$12="Massachusetts",'Company Information'!$C$12="Vermont"),SUM($H$6:$K$11,$H$15:$K$16,$H$37:$I$37)&lt;&gt;0),SUM(C$6:C$7),0)</f>
        <v>117465795.30430289</v>
      </c>
      <c r="I12" s="115">
        <f>SUM(I$6:I$7)+IF(AND(OR('Company Information'!$C$12="District of Columbia",'Company Information'!$C$12="Massachusetts",'Company Information'!$C$12="Vermont"),SUM($H$6:$K$11,$H$15:$K$16,$H$37:$I$37)&lt;&gt;0),SUM(D$6:D$7),0)</f>
        <v>121465723.21194983</v>
      </c>
      <c r="J12" s="115">
        <f>SUM(J$6:J$7)-SUM(J$10:J$11)+IF(AND(OR('Company Information'!$C$12="District of Columbia",'Company Information'!$C$12="Massachusetts",'Company Information'!$C$12="Vermont"),SUM($H$6:$K$11,$H$15:$K$16,$H$37:$I$37)&lt;&gt;0),SUM(E$6:E$7)-SUM(E$8:E$11),0)</f>
        <v>236849006.74242547</v>
      </c>
      <c r="K12" s="115">
        <f>IFERROR(SUM(H$12:J$12)+H$17*MAX(0,J$49-H$49)+I$17*MAX(0,J$49-I$49),0)</f>
        <v>475780525.2586782</v>
      </c>
      <c r="L12" s="311"/>
      <c r="M12" s="114">
        <f>SUM(M$6:M$7)</f>
        <v>462315958.30569714</v>
      </c>
      <c r="N12" s="115">
        <f>SUM(N$6:N$7)</f>
        <v>452954619.8210361</v>
      </c>
      <c r="O12" s="115">
        <f>SUM(O$6:O$7)</f>
        <v>495030828.36733913</v>
      </c>
      <c r="P12" s="115">
        <f>SUM(M$12:O$12)+M$17*MAX(0,O$49-M$49)+N$17*MAX(0,O$49-N$49)</f>
        <v>1410301406.4940724</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17582247.5</v>
      </c>
      <c r="D15" s="118">
        <v>22837179.21289498</v>
      </c>
      <c r="E15" s="106">
        <f>SUM('Pt 1 Summary of Data'!E$5:E$7)+SUM('Pt 1 Summary of Data'!G$5:G$7)-SUM('Pt 1 Summary of Data'!H$5:H$7)-SUM(E$9:E$11)+D$55</f>
        <v>614868839.0226239</v>
      </c>
      <c r="F15" s="106">
        <f>SUM(C15:E15)</f>
        <v>655288265.73551893</v>
      </c>
      <c r="G15" s="107">
        <f>SUM('Pt 1 Summary of Data'!I$5:I$7)-SUM(G$9:G$10)</f>
        <v>595157890</v>
      </c>
      <c r="H15" s="117">
        <v>145136464.23999998</v>
      </c>
      <c r="I15" s="118">
        <v>157384716.01024616</v>
      </c>
      <c r="J15" s="106">
        <f>SUM('Pt 1 Summary of Data'!K$5:K$7)+SUM('Pt 1 Summary of Data'!M$5:M$7)-SUM('Pt 1 Summary of Data'!N$5:N$7)-SUM(J$10:J$11)+I$55</f>
        <v>288681772.60508543</v>
      </c>
      <c r="K15" s="106">
        <f>SUM(H15:J15)</f>
        <v>591202952.85533166</v>
      </c>
      <c r="L15" s="107">
        <f>SUM('Pt 1 Summary of Data'!O$5:O$7)-L$10</f>
        <v>0</v>
      </c>
      <c r="M15" s="117">
        <v>538950651.02999997</v>
      </c>
      <c r="N15" s="118">
        <v>509541441.34528702</v>
      </c>
      <c r="O15" s="106">
        <f>SUM('Pt 1 Summary of Data'!Q$5:Q$7)+SUM('Pt 1 Summary of Data'!S$5:S$7)-SUM('Pt 1 Summary of Data'!T$5:T$7)+N$55</f>
        <v>558372054.71815395</v>
      </c>
      <c r="P15" s="106">
        <f>SUM(M15:O15)</f>
        <v>1606864147.093441</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-382485.03</v>
      </c>
      <c r="D16" s="110">
        <v>1672531.1326373911</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43469813.708595909</v>
      </c>
      <c r="F16" s="115">
        <f>SUM(C16:E16)</f>
        <v>44759859.811233297</v>
      </c>
      <c r="G16" s="116">
        <f>SUM('Pt 1 Summary of Data'!I$25:I$28,'Pt 1 Summary of Data'!I$30,'Pt 1 Summary of Data'!I$34:I$35)+IF('Company Information'!$C$15="No",IF(MAX('Pt 1 Summary of Data'!I$31:I$32)=0,MIN('Pt 1 Summary of Data'!I$31:I$32),MAX('Pt 1 Summary of Data'!I$31:I$32)),SUM('Pt 1 Summary of Data'!I$31:I$32))</f>
        <v>41283738</v>
      </c>
      <c r="H16" s="109">
        <v>2951363.09</v>
      </c>
      <c r="I16" s="110">
        <v>7649028.3543620827</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10917778.555125399</v>
      </c>
      <c r="K16" s="115">
        <f>SUM(H16:J16)</f>
        <v>21518169.999487482</v>
      </c>
      <c r="L16" s="116">
        <f>SUM('Pt 1 Summary of Data'!O$25:O$28,'Pt 1 Summary of Data'!O$30,'Pt 1 Summary of Data'!O$34:O$35)+IF('Company Information'!$C$15="No",IF(MAX('Pt 1 Summary of Data'!O$31:O$32)=0,MIN('Pt 1 Summary of Data'!O$31:O$32),MAX('Pt 1 Summary of Data'!O$31:O$32)),SUM('Pt 1 Summary of Data'!O$31:O$32))</f>
        <v>0</v>
      </c>
      <c r="M16" s="109">
        <v>6071181.1600000001</v>
      </c>
      <c r="N16" s="110">
        <v>-1039872.6254838021</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9652809.2062420398</v>
      </c>
      <c r="P16" s="115">
        <f>SUM(M16:O16)</f>
        <v>14684117.740758238</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17964732.530000001</v>
      </c>
      <c r="D17" s="115">
        <f>D$15-D$16+IF(AND(OR('Company Information'!$C$12="District of Columbia",'Company Information'!$C$12="Massachusetts",'Company Information'!$C$12="Vermont"),SUM($C$6:$F$11,$C$15:$F$16,$C$37:$D$37)&lt;&gt;0),I$15-I$16,0)</f>
        <v>21164648.080257587</v>
      </c>
      <c r="E17" s="115">
        <f>E$15-E$16+IF(AND(OR('Company Information'!$C$12="District of Columbia",'Company Information'!$C$12="Massachusetts",'Company Information'!$C$12="Vermont"),SUM($C$6:$F$11,$C$15:$F$16,$C$37:$D$37)&lt;&gt;0),J$15-J$16,0)</f>
        <v>571399025.31402802</v>
      </c>
      <c r="F17" s="115">
        <f>F$15-F$16+IF(AND(OR('Company Information'!$C$12="District of Columbia",'Company Information'!$C$12="Massachusetts",'Company Information'!$C$12="Vermont"),SUM($C$6:$F$11,$C$15:$F$16,$C$37:$D$37)&lt;&gt;0),K$15-K$16,0)</f>
        <v>610528405.92428565</v>
      </c>
      <c r="G17" s="314"/>
      <c r="H17" s="114">
        <f>H$15-H$16+IF(AND(OR('Company Information'!$C$12="District of Columbia",'Company Information'!$C$12="Massachusetts",'Company Information'!$C$12="Vermont"),SUM($H$6:$K$11,$H$15:$K$16,$H$37:$I$37)&lt;&gt;0),C$15-C$16,0)</f>
        <v>142185101.14999998</v>
      </c>
      <c r="I17" s="115">
        <f>I$15-I$16+IF(AND(OR('Company Information'!$C$12="District of Columbia",'Company Information'!$C$12="Massachusetts",'Company Information'!$C$12="Vermont"),SUM($H$6:$K$11,$H$15:$K$16,$H$37:$I$37)&lt;&gt;0),D$15-D$16,0)</f>
        <v>149735687.65588409</v>
      </c>
      <c r="J17" s="115">
        <f>J$15-J$16+IF(AND(OR('Company Information'!$C$12="District of Columbia",'Company Information'!$C$12="Massachusetts",'Company Information'!$C$12="Vermont"),SUM($H$6:$K$11,$H$15:$K$16,$H$37:$I$37)&lt;&gt;0),E$15-E$16,0)</f>
        <v>277763994.04996002</v>
      </c>
      <c r="K17" s="115">
        <f>K$15-K$16+IF(AND(OR('Company Information'!$C$12="District of Columbia",'Company Information'!$C$12="Massachusetts",'Company Information'!$C$12="Vermont"),SUM($H$6:$K$11,$H$15:$K$16,$H$37:$I$37)&lt;&gt;0),F$15-F$16,0)</f>
        <v>569684782.85584414</v>
      </c>
      <c r="L17" s="314"/>
      <c r="M17" s="114">
        <f>M$15-M$16</f>
        <v>532879469.86999995</v>
      </c>
      <c r="N17" s="115">
        <f>N$15-N$16</f>
        <v>510581313.97077084</v>
      </c>
      <c r="O17" s="115">
        <f>O$15-O$16</f>
        <v>548719245.51191187</v>
      </c>
      <c r="P17" s="115">
        <f>P$15-P$16</f>
        <v>1592180029.3526828</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502564880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87586287</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0.90736294189803612</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4.07E-2</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39158902.546400003</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-36277015</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39158902.546400003</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168028927.54640001</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168028927.54640001</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174601246.38640001</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152058568.40000001</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427128962.45359999</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152058568.40000001</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443099321.60000002</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1.134203677372545</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30291573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28586273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8163.6666666666661</v>
      </c>
      <c r="D37" s="122">
        <v>9865</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165884.66666666666</v>
      </c>
      <c r="F37" s="256">
        <f>SUM(C$37:E$37)+IF(AND(OR('Company Information'!$C$12="District of Columbia",'Company Information'!$C$12="Massachusetts",'Company Information'!$C$12="Vermont"),SUM($C$6:$F$11,$C$15:$F$16,$C$37:$D$37)&lt;&gt;0,SUM(C$37:D$37)&lt;&gt;SUM(H$37:I$37)),SUM(H$37:I$37),0)</f>
        <v>183913.33333333331</v>
      </c>
      <c r="G37" s="312"/>
      <c r="H37" s="121">
        <v>31308.5</v>
      </c>
      <c r="I37" s="122">
        <v>33582</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63732.833333333336</v>
      </c>
      <c r="K37" s="256">
        <f>SUM(H$37:J$37)+IF(AND(OR('Company Information'!$C$12="District of Columbia",'Company Information'!$C$12="Massachusetts",'Company Information'!$C$12="Vermont"),SUM($H$6:$K$11,$H$15:$K$16,$H$37:$I$37)&lt;&gt;0,SUM(H$37:I$37)&lt;&gt;SUM(C$37:D$37)),SUM(C$37:D$37),0)</f>
        <v>128623.33333333334</v>
      </c>
      <c r="L37" s="312"/>
      <c r="M37" s="121">
        <v>108529.58333333333</v>
      </c>
      <c r="N37" s="122">
        <v>104524</v>
      </c>
      <c r="O37" s="256">
        <f>('Pt 1 Summary of Data'!Q$59+'Pt 1 Summary of Data'!S$59-'Pt 1 Summary of Data'!T$59)/12</f>
        <v>109232.5</v>
      </c>
      <c r="P37" s="256">
        <f>SUM(M$37:O$37)</f>
        <v>322286.08333333331</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4512.4187747272508</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1.3555822673540341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IF(OR(F$37&lt;1000,F$37&gt;=75000),0,F$38*F$40)</f>
        <v>0</v>
      </c>
      <c r="G41" s="311"/>
      <c r="H41" s="292"/>
      <c r="I41" s="288"/>
      <c r="J41" s="288"/>
      <c r="K41" s="260">
        <f>IF(OR(K$37&lt;1000,K$37&gt;=75000),0,K$38*K$40)</f>
        <v>0</v>
      </c>
      <c r="L41" s="311"/>
      <c r="M41" s="292"/>
      <c r="N41" s="288"/>
      <c r="O41" s="288"/>
      <c r="P41" s="260">
        <f>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0.74099451732833532</v>
      </c>
      <c r="D44" s="260">
        <f>IF(OR(D$37&lt;1000,D$17&lt;=0),"",D$12/D$17)</f>
        <v>0.71512716890049166</v>
      </c>
      <c r="E44" s="260">
        <f>IF(OR(E$37&lt;1000,E$17&lt;=0),"",E$12/E$17)</f>
        <v>0.84931783463314492</v>
      </c>
      <c r="F44" s="260">
        <f>IF(OR(F$37&lt;1000,F$17&lt;=0),"",F$12/F$17)</f>
        <v>0.84147856361546869</v>
      </c>
      <c r="G44" s="311"/>
      <c r="H44" s="262">
        <f>IF(OR(H$37&lt;1000,H$17&lt;=0),"",H$12/H$17)</f>
        <v>0.82614700382975326</v>
      </c>
      <c r="I44" s="260">
        <f>IF(OR(I$37&lt;1000,I$17&lt;=0),"",I$12/I$17)</f>
        <v>0.81120089080631841</v>
      </c>
      <c r="J44" s="260">
        <f>IF(OR(J$37&lt;1000,J$17&lt;=0),"",J$12/J$17)</f>
        <v>0.85269873639498661</v>
      </c>
      <c r="K44" s="260">
        <f>IF(OR(K$37&lt;1000,K$17&lt;=0),"",K$12/K$17)</f>
        <v>0.83516453234642929</v>
      </c>
      <c r="L44" s="311"/>
      <c r="M44" s="262">
        <f>IF(OR(M$37&lt;1000,M$17&lt;=0),"",M$12/M$17)</f>
        <v>0.86758072781164319</v>
      </c>
      <c r="N44" s="260">
        <f>IF(OR(N$37&lt;1000,N$17&lt;=0),"",N$12/N$17)</f>
        <v>0.88713512897372959</v>
      </c>
      <c r="O44" s="260">
        <f>IF(OR(O$37&lt;1000,O$17&lt;=0),"",O$12/O$17)</f>
        <v>0.90215685419510727</v>
      </c>
      <c r="P44" s="260">
        <f>IF(OR(P$37&lt;1000,P$17&lt;=0),"",P$12/P$17)</f>
        <v>0.88576755171803345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IF(F$44="","",F$41)</f>
        <v>0</v>
      </c>
      <c r="G46" s="311"/>
      <c r="H46" s="292"/>
      <c r="I46" s="288"/>
      <c r="J46" s="288"/>
      <c r="K46" s="260">
        <f>IF(K$44="","",K$41)</f>
        <v>0</v>
      </c>
      <c r="L46" s="311"/>
      <c r="M46" s="292"/>
      <c r="N46" s="288"/>
      <c r="O46" s="288"/>
      <c r="P46" s="260">
        <f>IF(P$44="","",P$41)</f>
        <v>0</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IF(F$44="","",ROUND(F$44+MAX(0,F$46),3))</f>
        <v>0.84099999999999997</v>
      </c>
      <c r="G47" s="311"/>
      <c r="H47" s="292"/>
      <c r="I47" s="288"/>
      <c r="J47" s="288"/>
      <c r="K47" s="260">
        <f>IF(K$44="","",ROUND(K$44+MAX(0,K$46),3))</f>
        <v>0.83499999999999996</v>
      </c>
      <c r="L47" s="311"/>
      <c r="M47" s="292"/>
      <c r="N47" s="288"/>
      <c r="O47" s="288"/>
      <c r="P47" s="260">
        <f>IF(P$44="","",ROUND(P$44+MAX(0,P$46),3))</f>
        <v>0.88600000000000001</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2022</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0.84099999999999997</v>
      </c>
      <c r="G50" s="311"/>
      <c r="H50" s="293"/>
      <c r="I50" s="289"/>
      <c r="J50" s="289"/>
      <c r="K50" s="260">
        <f>K$47</f>
        <v>0.83499999999999996</v>
      </c>
      <c r="L50" s="311"/>
      <c r="M50" s="293"/>
      <c r="N50" s="289"/>
      <c r="O50" s="289"/>
      <c r="P50" s="260">
        <f>P$47</f>
        <v>0.88600000000000001</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571399025.31402802</v>
      </c>
      <c r="G51" s="311"/>
      <c r="H51" s="292"/>
      <c r="I51" s="288"/>
      <c r="J51" s="288"/>
      <c r="K51" s="115">
        <f>IF(K$37&lt;1000,"",MAX(0,J$15-J$16))</f>
        <v>277763994.04996002</v>
      </c>
      <c r="L51" s="311"/>
      <c r="M51" s="292"/>
      <c r="N51" s="288"/>
      <c r="O51" s="288"/>
      <c r="P51" s="115">
        <f>IF(P$37&lt;1000,"",MAX(0,O$15-O$16))</f>
        <v>548719245.51191187</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IF(OR(F$37&lt;1000,F$17&lt;=0),0,MAX(0,F$49-F$50)*F$51)</f>
        <v>0</v>
      </c>
      <c r="G52" s="311"/>
      <c r="H52" s="292"/>
      <c r="I52" s="288"/>
      <c r="J52" s="288"/>
      <c r="K52" s="115">
        <f>IF(OR(K$37&lt;1000,K$17&lt;=0),0,MAX(0,K$49-K$50)*K$51)</f>
        <v>0</v>
      </c>
      <c r="L52" s="311"/>
      <c r="M52" s="292"/>
      <c r="N52" s="288"/>
      <c r="O52" s="288"/>
      <c r="P52" s="115">
        <f>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250879.36433941941</v>
      </c>
      <c r="E55" s="288"/>
      <c r="F55" s="288"/>
      <c r="G55" s="311"/>
      <c r="H55" s="292"/>
      <c r="I55" s="110">
        <v>1176834.784933493</v>
      </c>
      <c r="J55" s="288"/>
      <c r="K55" s="288"/>
      <c r="L55" s="311"/>
      <c r="M55" s="292"/>
      <c r="N55" s="110">
        <v>1602425.0657895431</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18371.989283740775</v>
      </c>
      <c r="E56" s="288"/>
      <c r="F56" s="288"/>
      <c r="G56" s="311"/>
      <c r="H56" s="292"/>
      <c r="I56" s="110">
        <v>57190.786672415554</v>
      </c>
      <c r="J56" s="288"/>
      <c r="K56" s="288"/>
      <c r="L56" s="311"/>
      <c r="M56" s="292"/>
      <c r="N56" s="110">
        <v>-3269.9702957989698</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137910</v>
      </c>
      <c r="D4" s="149">
        <f>'Pt 1 Summary of Data'!$K$56+'Pt 1 Summary of Data'!$M$56-'Pt 1 Summary of Data'!$N$56</f>
        <v>52775</v>
      </c>
      <c r="E4" s="149">
        <f>'Pt 1 Summary of Data'!$Q$56+'Pt 1 Summary of Data'!$S$56-'Pt 1 Summary of Data'!$T$56</f>
        <v>68055</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'Pt 3 MLR and Rebate Calculation'!$F$52</f>
        <v>0</v>
      </c>
      <c r="D11" s="119">
        <f>'Pt 3 MLR and Rebate Calculation'!$K$52</f>
        <v>0</v>
      </c>
      <c r="E11" s="119">
        <f>'Pt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423292.96160515212</v>
      </c>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v>1</v>
      </c>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43598.780000000042</v>
      </c>
      <c r="D22" s="212"/>
      <c r="E22" s="212"/>
      <c r="F22" s="212"/>
      <c r="G22" s="212"/>
      <c r="H22" s="212"/>
      <c r="I22" s="359"/>
      <c r="J22" s="359"/>
      <c r="K22" s="368"/>
    </row>
    <row r="23" spans="2:12" s="5" customFormat="1" ht="100.15" customHeight="1" x14ac:dyDescent="0.2">
      <c r="B23" s="102" t="s">
        <v>212</v>
      </c>
      <c r="C23" s="381" t="s">
        <v>511</v>
      </c>
      <c r="D23" s="382"/>
      <c r="E23" s="382"/>
      <c r="F23" s="382"/>
      <c r="G23" s="382"/>
      <c r="H23" s="382"/>
      <c r="I23" s="382"/>
      <c r="J23" s="382"/>
      <c r="K23" s="383"/>
    </row>
    <row r="24" spans="2:12" s="5" customFormat="1" ht="100.15" customHeight="1" x14ac:dyDescent="0.2">
      <c r="B24" s="101" t="s">
        <v>213</v>
      </c>
      <c r="C24" s="384" t="s">
        <v>512</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t="s">
        <v>507</v>
      </c>
      <c r="C9" s="28"/>
      <c r="D9" s="29"/>
      <c r="E9" s="29"/>
      <c r="F9" s="29"/>
      <c r="G9" s="29"/>
      <c r="H9" s="29"/>
      <c r="I9" s="27"/>
      <c r="J9" s="27"/>
      <c r="K9" s="2"/>
    </row>
    <row r="10" spans="1:12" s="5" customFormat="1" ht="18" customHeight="1" x14ac:dyDescent="0.2">
      <c r="B10" s="66" t="s">
        <v>505</v>
      </c>
      <c r="C10" s="28"/>
      <c r="D10" s="29"/>
      <c r="E10" s="29"/>
      <c r="F10" s="29"/>
      <c r="G10" s="29"/>
      <c r="H10" s="29"/>
      <c r="I10" s="27"/>
      <c r="J10" s="27"/>
      <c r="K10" s="2"/>
    </row>
    <row r="11" spans="1:12" s="5" customFormat="1" ht="18" customHeight="1" x14ac:dyDescent="0.2">
      <c r="B11" s="66" t="s">
        <v>508</v>
      </c>
      <c r="C11" s="28"/>
      <c r="D11" s="29"/>
      <c r="E11" s="29"/>
      <c r="F11" s="29"/>
      <c r="G11" s="29"/>
      <c r="H11" s="29"/>
      <c r="I11" s="27"/>
      <c r="J11" s="27"/>
      <c r="K11" s="2"/>
    </row>
    <row r="12" spans="1:12" s="5" customFormat="1" ht="18" customHeight="1" x14ac:dyDescent="0.2">
      <c r="B12" s="66" t="s">
        <v>509</v>
      </c>
      <c r="C12" s="28"/>
      <c r="D12" s="29"/>
      <c r="E12" s="29"/>
      <c r="F12" s="29"/>
      <c r="G12" s="29"/>
      <c r="H12" s="29"/>
      <c r="I12" s="27"/>
      <c r="J12" s="27"/>
      <c r="K12" s="2"/>
    </row>
    <row r="13" spans="1:12" s="5" customFormat="1" ht="18" customHeight="1" x14ac:dyDescent="0.2">
      <c r="B13" s="66" t="s">
        <v>510</v>
      </c>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2015-07-23T01:18:56Z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