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H4" i="16"/>
  <c r="G4" i="16"/>
  <c r="F4" i="16"/>
  <c r="E4" i="16"/>
  <c r="D4" i="16"/>
  <c r="C4" i="16"/>
  <c r="AB52" i="10"/>
  <c r="X52" i="10"/>
  <c r="G11" i="16" s="1"/>
  <c r="T52" i="10"/>
  <c r="F11" i="16" s="1"/>
  <c r="P52" i="10"/>
  <c r="K52" i="10"/>
  <c r="AB51" i="10"/>
  <c r="X51" i="10"/>
  <c r="T51" i="10"/>
  <c r="P51" i="10"/>
  <c r="K51" i="10"/>
  <c r="F51" i="10"/>
  <c r="AB50" i="10"/>
  <c r="P50" i="10"/>
  <c r="K50" i="10"/>
  <c r="AB47" i="10"/>
  <c r="P47" i="10"/>
  <c r="K47" i="10"/>
  <c r="AB46" i="10"/>
  <c r="X46" i="10"/>
  <c r="P46" i="10"/>
  <c r="K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AB40" i="10"/>
  <c r="X40" i="10"/>
  <c r="T40" i="10"/>
  <c r="P40" i="10"/>
  <c r="K40" i="10"/>
  <c r="F40" i="10"/>
  <c r="X38" i="10"/>
  <c r="P38" i="10"/>
  <c r="F38" i="10"/>
  <c r="AB37" i="10"/>
  <c r="AA37" i="10"/>
  <c r="X37" i="10"/>
  <c r="W37" i="10"/>
  <c r="T37" i="10"/>
  <c r="S37" i="10"/>
  <c r="P37" i="10"/>
  <c r="O37" i="10"/>
  <c r="K37" i="10"/>
  <c r="J37" i="10"/>
  <c r="F37" i="10"/>
  <c r="E37" i="10"/>
  <c r="L29" i="10"/>
  <c r="L28" i="10"/>
  <c r="L25" i="10"/>
  <c r="L21" i="10"/>
  <c r="L20" i="10"/>
  <c r="L19" i="10"/>
  <c r="L24"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P16" i="10"/>
  <c r="O16" i="10"/>
  <c r="L16" i="10"/>
  <c r="K16" i="10"/>
  <c r="J16" i="10"/>
  <c r="G16" i="10"/>
  <c r="F16" i="10"/>
  <c r="E16" i="10"/>
  <c r="AB15" i="10"/>
  <c r="AA15" i="10"/>
  <c r="X15" i="10"/>
  <c r="W15" i="10"/>
  <c r="U13" i="10" s="1"/>
  <c r="T15" i="10"/>
  <c r="S15" i="10"/>
  <c r="P15" i="10"/>
  <c r="O15" i="10"/>
  <c r="L15" i="10"/>
  <c r="K15" i="10"/>
  <c r="J15" i="10"/>
  <c r="G15" i="10"/>
  <c r="F15" i="10"/>
  <c r="E15" i="10"/>
  <c r="AB13" i="10"/>
  <c r="AA13" i="10"/>
  <c r="Z13" i="10"/>
  <c r="Y13" i="10"/>
  <c r="V13" i="10"/>
  <c r="S13" i="10"/>
  <c r="R13" i="10"/>
  <c r="Q13" i="10"/>
  <c r="P12" i="10"/>
  <c r="O12" i="10"/>
  <c r="N12" i="10"/>
  <c r="M12" i="10"/>
  <c r="J12" i="10"/>
  <c r="I12" i="10"/>
  <c r="H12" i="10"/>
  <c r="E12" i="10"/>
  <c r="D12" i="10"/>
  <c r="C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0" i="10" s="1"/>
  <c r="E7" i="10"/>
  <c r="F7" i="10" s="1"/>
  <c r="AB6" i="10"/>
  <c r="AA6" i="10"/>
  <c r="X6" i="10"/>
  <c r="W6" i="10"/>
  <c r="T6" i="10"/>
  <c r="S6" i="10"/>
  <c r="P6" i="10"/>
  <c r="O6" i="10"/>
  <c r="L6" i="10"/>
  <c r="K6" i="10"/>
  <c r="J6" i="10"/>
  <c r="G6" i="10"/>
  <c r="F6" i="10"/>
  <c r="E6" i="10"/>
  <c r="AU55" i="18"/>
  <c r="AU22" i="4" s="1"/>
  <c r="AT55" i="18"/>
  <c r="AT22" i="4" s="1"/>
  <c r="AS55" i="18"/>
  <c r="AC55" i="18"/>
  <c r="AC22" i="4" s="1"/>
  <c r="AB55" i="18"/>
  <c r="AB22" i="4" s="1"/>
  <c r="AA55" i="18"/>
  <c r="Z55" i="18"/>
  <c r="Y55" i="18"/>
  <c r="X55" i="18"/>
  <c r="W55" i="18"/>
  <c r="V55" i="18"/>
  <c r="U55" i="18"/>
  <c r="T55" i="18"/>
  <c r="S55" i="18"/>
  <c r="R55" i="18"/>
  <c r="R22" i="4" s="1"/>
  <c r="Q55" i="18"/>
  <c r="P55" i="18"/>
  <c r="P22" i="4" s="1"/>
  <c r="O55" i="18"/>
  <c r="N55" i="18"/>
  <c r="M55" i="18"/>
  <c r="L55" i="18"/>
  <c r="L22" i="4" s="1"/>
  <c r="K55" i="18"/>
  <c r="J55" i="18"/>
  <c r="I55" i="18"/>
  <c r="I22" i="4" s="1"/>
  <c r="H55" i="18"/>
  <c r="H22" i="4" s="1"/>
  <c r="G55" i="18"/>
  <c r="G22" i="4" s="1"/>
  <c r="F55" i="18"/>
  <c r="E55" i="18"/>
  <c r="E22" i="4" s="1"/>
  <c r="D55" i="18"/>
  <c r="D22" i="4" s="1"/>
  <c r="AU54" i="18"/>
  <c r="AU12" i="4" s="1"/>
  <c r="AT54" i="18"/>
  <c r="AS54" i="18"/>
  <c r="AS12" i="4" s="1"/>
  <c r="AC54" i="18"/>
  <c r="AC12" i="4" s="1"/>
  <c r="AB54" i="18"/>
  <c r="AB12" i="4" s="1"/>
  <c r="AA54" i="18"/>
  <c r="AA12" i="4" s="1"/>
  <c r="Z54" i="18"/>
  <c r="Z12" i="4" s="1"/>
  <c r="Y54" i="18"/>
  <c r="Y12" i="4" s="1"/>
  <c r="X54" i="18"/>
  <c r="X12" i="4" s="1"/>
  <c r="W54" i="18"/>
  <c r="V54" i="18"/>
  <c r="V12" i="4" s="1"/>
  <c r="U54" i="18"/>
  <c r="U12" i="4" s="1"/>
  <c r="T54" i="18"/>
  <c r="T12" i="4" s="1"/>
  <c r="S54" i="18"/>
  <c r="R54" i="18"/>
  <c r="R12" i="4" s="1"/>
  <c r="Q54" i="18"/>
  <c r="Q12" i="4" s="1"/>
  <c r="P54" i="18"/>
  <c r="P12" i="4" s="1"/>
  <c r="O54" i="18"/>
  <c r="N54" i="18"/>
  <c r="N12" i="4" s="1"/>
  <c r="M54" i="18"/>
  <c r="M12" i="4" s="1"/>
  <c r="L54" i="18"/>
  <c r="L12" i="4" s="1"/>
  <c r="K54" i="18"/>
  <c r="K12" i="4" s="1"/>
  <c r="J54" i="18"/>
  <c r="J12" i="4" s="1"/>
  <c r="I54" i="18"/>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A22" i="4"/>
  <c r="Z22" i="4"/>
  <c r="Y22" i="4"/>
  <c r="X22" i="4"/>
  <c r="W22" i="4"/>
  <c r="V22" i="4"/>
  <c r="U22" i="4"/>
  <c r="T22" i="4"/>
  <c r="S22" i="4"/>
  <c r="Q22" i="4"/>
  <c r="O22" i="4"/>
  <c r="N22" i="4"/>
  <c r="M22" i="4"/>
  <c r="K22" i="4"/>
  <c r="J22" i="4"/>
  <c r="F22" i="4"/>
  <c r="AT12" i="4"/>
  <c r="W12" i="4"/>
  <c r="S12" i="4"/>
  <c r="O12" i="4"/>
  <c r="I12" i="4"/>
  <c r="H12" i="4"/>
  <c r="AU5" i="4"/>
  <c r="AT5" i="4"/>
  <c r="AS5" i="4"/>
  <c r="AC5" i="4"/>
  <c r="AB5" i="4"/>
  <c r="AA5" i="4"/>
  <c r="Z5" i="4"/>
  <c r="Y5" i="4"/>
  <c r="X5" i="4"/>
  <c r="W5" i="4"/>
  <c r="V5" i="4"/>
  <c r="U5" i="4"/>
  <c r="T5" i="4"/>
  <c r="S5" i="4"/>
  <c r="R5" i="4"/>
  <c r="Q5" i="4"/>
  <c r="P5" i="4"/>
  <c r="O5" i="4"/>
  <c r="N5" i="4"/>
  <c r="M5" i="4"/>
  <c r="L5" i="4"/>
  <c r="K5" i="4"/>
  <c r="J5" i="4"/>
  <c r="I5" i="4"/>
  <c r="H5" i="4"/>
  <c r="G5" i="4"/>
  <c r="F5" i="4"/>
  <c r="E5" i="4"/>
  <c r="D5" i="4"/>
  <c r="G29" i="10" l="1"/>
  <c r="G19" i="10"/>
  <c r="G24" i="10" s="1"/>
  <c r="G23" i="10" s="1"/>
  <c r="G27" i="10" s="1"/>
  <c r="G25" i="10"/>
  <c r="G28" i="10"/>
  <c r="T46" i="10"/>
  <c r="T38" i="10"/>
  <c r="AB38" i="10"/>
  <c r="K38" i="10"/>
  <c r="F41" i="10"/>
  <c r="F46" i="10" s="1"/>
  <c r="F47" i="10" s="1"/>
  <c r="F50" i="10" s="1"/>
  <c r="F52" i="10" s="1"/>
  <c r="C11" i="16" s="1"/>
  <c r="L23" i="10"/>
  <c r="L27" i="10" s="1"/>
  <c r="T13" i="10"/>
  <c r="K12" i="10"/>
  <c r="W13" i="10"/>
  <c r="X13" i="10"/>
  <c r="F12" i="10"/>
  <c r="G31" i="10" l="1"/>
  <c r="G32" i="10" s="1"/>
  <c r="G33" i="10" s="1"/>
  <c r="G26" i="10"/>
  <c r="G30" i="10" s="1"/>
  <c r="G21" i="10"/>
  <c r="L26" i="10"/>
  <c r="L30" i="10" s="1"/>
  <c r="L31" i="10"/>
  <c r="L32" i="10" s="1"/>
  <c r="L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<sst xmlns="http://schemas.openxmlformats.org/spreadsheetml/2006/main" count="566" uniqueCount="505">
  <si>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</si>
  <si>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</si>
  <si>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</si>
  <si>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</si>
  <si>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</si>
  <si>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</si>
  <si>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</si>
  <si>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</si>
  <si>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</si>
  <si>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</si>
  <si>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</si>
  <si>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</si>
  <si>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</si>
  <si>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</si>
  <si>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</si>
  <si>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</si>
  <si>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</si>
  <si>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</si>
  <si>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</si>
  <si>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</si>
  <si>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</si>
  <si>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</si>
  <si>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</si>
  <si>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</si>
  <si>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</si>
  <si>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</si>
  <si>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</si>
  <si>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</si>
  <si>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</si>
  <si>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</si>
  <si>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</si>
  <si>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</si>
  <si>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</si>
  <si>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</si>
  <si>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</si>
  <si>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</si>
  <si>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</si>
  <si>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</si>
  <si>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</si>
  <si>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</si>
  <si>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</si>
  <si>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</si>
  <si>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</si>
  <si>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</si>
  <si>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</si>
  <si>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</si>
  <si>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</si>
  <si>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</si>
  <si>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</si>
  <si>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</si>
  <si>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</si>
  <si>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</si>
  <si>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</si>
  <si>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</si>
  <si>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</si>
  <si>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</si>
  <si>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</si>
  <si>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</si>
  <si>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</si>
  <si>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</si>
  <si>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</si>
  <si>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</si>
  <si>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</si>
  <si>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</si>
  <si>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</si>
  <si>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</si>
  <si>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</si>
  <si>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</si>
  <si>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</si>
  <si>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</si>
  <si>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</si>
  <si>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</si>
  <si>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</si>
  <si>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</si>
  <si>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</si>
  <si>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</si>
  <si>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</si>
  <si>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</si>
  <si>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</si>
  <si>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</si>
  <si>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</si>
  <si>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</si>
  <si>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</si>
  <si>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</si>
  <si>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</si>
  <si>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</si>
  <si>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</si>
  <si>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</si>
  <si>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</si>
  <si>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</si>
  <si>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</si>
  <si>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</si>
  <si>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</si>
  <si>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</si>
  <si>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</si>
  <si>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</si>
  <si>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</si>
  <si>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</si>
  <si>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</si>
  <si>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</si>
  <si>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</si>
  <si>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</si>
  <si>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</si>
  <si>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</si>
  <si>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</si>
  <si>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</si>
  <si>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</si>
  <si>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</si>
  <si>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</si>
  <si>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</si>
  <si>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</si>
  <si>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</si>
  <si>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</si>
  <si>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</si>
  <si>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</si>
  <si>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</si>
  <si>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</si>
  <si>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</si>
  <si>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</si>
  <si>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</si>
  <si>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</si>
  <si>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</si>
  <si>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</si>
  <si>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</si>
  <si>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</si>
  <si>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</si>
  <si>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</si>
  <si>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</si>
  <si>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</si>
  <si>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</si>
  <si>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</si>
  <si>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</si>
  <si>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</si>
  <si>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</si>
  <si>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</si>
  <si>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</si>
  <si>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</si>
  <si>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</si>
  <si>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</si>
  <si>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</si>
  <si>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</si>
  <si>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</si>
  <si>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</si>
  <si>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</si>
  <si>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</si>
  <si>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</si>
  <si>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</si>
  <si>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</si>
  <si>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</si>
  <si>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</si>
  <si>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</si>
  <si>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</si>
  <si>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</si>
  <si>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</si>
  <si>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</si>
  <si>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</si>
  <si>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</si>
  <si>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</si>
  <si>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</si>
  <si>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</si>
  <si>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</si>
  <si>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</si>
  <si>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</si>
  <si>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</si>
  <si>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</si>
  <si>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</si>
  <si>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</si>
  <si>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</si>
  <si>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</si>
  <si>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</si>
  <si>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</si>
  <si>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</si>
  <si>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</si>
  <si>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</si>
  <si>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</si>
  <si>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</si>
  <si>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</si>
  <si>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</si>
  <si>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</si>
  <si>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</si>
  <si>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</si>
  <si>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</si>
  <si>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</si>
  <si>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</si>
  <si>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</si>
  <si>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</si>
  <si>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</si>
  <si>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</si>
  <si>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</si>
  <si>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</si>
  <si>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</si>
  <si>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</si>
  <si>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</si>
  <si>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</si>
  <si>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</si>
  <si>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</si>
  <si>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</si>
  <si>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</si>
  <si>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</si>
  <si>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</si>
  <si>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</si>
  <si>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</si>
  <si>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</si>
  <si>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</si>
  <si>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</si>
  <si>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</si>
  <si>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</si>
  <si>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</si>
  <si>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</si>
  <si>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</si>
  <si>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</si>
  <si>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</si>
  <si>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</si>
  <si>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</si>
  <si>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</si>
  <si>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</si>
  <si>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</si>
  <si>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</si>
  <si>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</si>
  <si>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</si>
  <si>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</si>
  <si>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</si>
  <si>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</si>
  <si>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</si>
  <si>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</si>
  <si>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</si>
  <si>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</si>
  <si>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</si>
  <si>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</si>
  <si>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</si>
  <si>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</si>
  <si>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</si>
  <si>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</si>
  <si>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</si>
  <si>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</si>
  <si>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</si>
  <si>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</si>
  <si>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</si>
  <si>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</si>
  <si>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</si>
  <si>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</si>
  <si>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</si>
  <si>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</si>
  <si>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</si>
  <si>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</si>
  <si>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</si>
  <si>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</si>
  <si>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</si>
  <si>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</si>
  <si>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</si>
  <si>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</si>
  <si>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</si>
  <si>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</si>
  <si>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</si>
  <si>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</si>
  <si>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</si>
  <si>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</si>
  <si>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</si>
  <si>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</si>
  <si>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</si>
  <si>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</si>
  <si>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</si>
  <si>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</si>
  <si>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</si>
  <si>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</si>
  <si>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</si>
  <si>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</si>
  <si>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</si>
  <si>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</si>
  <si>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</si>
  <si>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</si>
  <si>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</si>
  <si>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</si>
  <si>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</si>
  <si>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</si>
  <si>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</si>
  <si>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</si>
  <si>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</si>
  <si>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</si>
  <si>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</si>
  <si>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</si>
  <si>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</si>
  <si>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</si>
  <si>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</si>
  <si>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</si>
  <si>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</si>
  <si>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</si>
  <si>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</si>
  <si>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</si>
  <si>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</si>
  <si>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</si>
  <si>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</si>
  <si>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</si>
  <si>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</si>
  <si>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</si>
  <si>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</si>
  <si>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</si>
  <si>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</si>
  <si>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</si>
  <si>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</si>
  <si>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</si>
  <si>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</si>
  <si>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</si>
  <si>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</si>
  <si>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</si>
  <si>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</si>
  <si>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</si>
  <si>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</si>
  <si>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</si>
  <si>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</si>
  <si>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</si>
  <si>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</si>
  <si>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</si>
  <si>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</si>
  <si>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</si>
  <si>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</si>
  <si>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</si>
  <si>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</si>
  <si>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</si>
  <si>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</si>
  <si>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</si>
  <si>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</si>
  <si>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</si>
  <si>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</si>
  <si>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</si>
  <si>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</si>
  <si>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</si>
  <si>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</si>
  <si>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</si>
  <si>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</si>
  <si>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</si>
  <si>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</si>
  <si>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</si>
  <si>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</si>
  <si>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</si>
  <si>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</si>
  <si>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</si>
  <si>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</si>
  <si>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</si>
  <si>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</si>
  <si>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</si>
  <si>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</si>
  <si>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</si>
  <si>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</si>
  <si>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</si>
  <si>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</si>
  <si>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</si>
  <si>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</si>
  <si>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</si>
  <si>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</si>
  <si>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</si>
  <si>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</si>
  <si>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</si>
  <si>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</si>
  <si>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</si>
  <si>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</si>
  <si>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</si>
  <si>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</si>
  <si>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</si>
  <si>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</si>
  <si>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</si>
  <si>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</si>
  <si>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</si>
  <si>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</si>
  <si>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</si>
  <si>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</si>
  <si>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</si>
  <si>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</si>
  <si>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</si>
  <si>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</si>
  <si>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</si>
  <si>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</si>
  <si>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</si>
  <si>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</si>
  <si>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</si>
  <si>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</si>
  <si>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</si>
  <si>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</si>
  <si>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</si>
  <si>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</si>
  <si>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</si>
  <si>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</si>
  <si>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</si>
  <si>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</si>
  <si>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</si>
  <si>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</si>
  <si>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</si>
  <si>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</si>
  <si>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</si>
  <si>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</si>
  <si>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</si>
  <si>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</si>
  <si>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</si>
  <si>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</si>
  <si>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</si>
  <si>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</si>
  <si>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</si>
  <si>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</si>
  <si>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</si>
  <si>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</si>
  <si>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</si>
  <si>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</si>
  <si>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</si>
  <si>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</si>
  <si>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</si>
  <si>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</si>
  <si>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</si>
  <si>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</si>
  <si>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</si>
  <si>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</si>
  <si>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</si>
  <si>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</si>
  <si>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</si>
  <si>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</si>
  <si>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</si>
  <si>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</si>
  <si>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</si>
  <si>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</si>
  <si>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</si>
  <si>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</si>
  <si>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</si>
  <si>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</si>
  <si>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</si>
  <si>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</si>
  <si>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</si>
  <si>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</si>
  <si>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</si>
  <si>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</si>
  <si>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</si>
  <si>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</si>
  <si>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</si>
  <si>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</si>
  <si>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</si>
  <si>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</si>
  <si>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</si>
  <si>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</si>
  <si>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</si>
  <si>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</si>
  <si>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</si>
  <si>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</si>
  <si>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</si>
  <si>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</si>
  <si>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</si>
  <si>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</si>
  <si>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</si>
  <si>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</si>
  <si>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</si>
  <si>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</si>
  <si>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</si>
  <si>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</si>
  <si>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</si>
  <si>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</si>
  <si>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</si>
  <si>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</si>
  <si>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</si>
  <si>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</si>
  <si>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</si>
  <si>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</si>
  <si>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</si>
  <si>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</si>
  <si>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</si>
  <si>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</si>
  <si>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</si>
  <si>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</si>
  <si>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</si>
  <si>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</si>
  <si>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</si>
  <si>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</si>
  <si>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</si>
  <si>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</si>
  <si>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</si>
  <si>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</si>
  <si>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</si>
  <si>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</si>
  <si>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</si>
  <si>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</si>
  <si>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</si>
  <si>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</si>
  <si>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</si>
  <si>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</si>
  <si>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</si>
  <si>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</si>
  <si>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</si>
  <si>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</si>
  <si>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</si>
  <si>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</si>
  <si>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</si>
  <si>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</si>
  <si>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</si>
  <si>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</si>
  <si>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</si>
  <si>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</si>
  <si>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</si>
  <si>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</si>
  <si>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Medical Plan of Utah, Inc.</t>
  </si>
  <si>
    <t>HUMANA GRP</t>
  </si>
  <si>
    <t>Humana</t>
  </si>
  <si>
    <t>119</t>
  </si>
  <si>
    <t>2014</t>
  </si>
  <si>
    <t>9815 South Monroe Street, Suite 300 Sandy, UT 84070</t>
  </si>
  <si>
    <t>208411422</t>
  </si>
  <si>
    <t>012908</t>
  </si>
  <si>
    <t>12908</t>
  </si>
  <si>
    <t>56764</t>
  </si>
  <si>
    <t>474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</si>
</sst>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187</v>
      </c>
    </row>
    <row r="13" spans="1:6" x14ac:dyDescent="0.2">
      <c r="B13" s="238" t="s">
        <v>50</v>
      </c>
      <c r="C13" s="384" t="s">
        <v>187</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25750838</v>
      </c>
      <c r="E5" s="112">
        <f>SUM('Pt 2 Premium and Claims'!E$5,'Pt 2 Premium and Claims'!E$6,-'Pt 2 Premium and Claims'!E$7,-'Pt 2 Premium and Claims'!E$13,'Pt 2 Premium and Claims'!E$14:'Pt 2 Premium and Claims'!E$17)</f>
        <v>26287988.169999998</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17444542</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50277367</v>
      </c>
      <c r="AT5" s="113">
        <f>SUM('Pt 2 Premium and Claims'!AT$5,'Pt 2 Premium and Claims'!AT$6,-'Pt 2 Premium and Claims'!AT$7,-'Pt 2 Premium and Claims'!AT$13,'Pt 2 Premium and Claims'!AT$14)</f>
        <v>602843</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-475192</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21176689</v>
      </c>
      <c r="E12" s="112">
        <f>'Pt 2 Premium and Claims'!E$54</f>
        <v>24774017.659000002</v>
      </c>
      <c r="F12" s="112">
        <f>'Pt 2 Premium and Claims'!F$54</f>
        <v>0</v>
      </c>
      <c r="G12" s="112">
        <f>'Pt 2 Premium and Claims'!G$54</f>
        <v>0</v>
      </c>
      <c r="H12" s="112">
        <f>'Pt 2 Premium and Claims'!H$54</f>
        <v>0</v>
      </c>
      <c r="I12" s="111">
        <f>'Pt 2 Premium and Claims'!I$54</f>
        <v>24774017</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44099512</v>
      </c>
      <c r="AT12" s="113">
        <f>'Pt 2 Premium and Claims'!AT$54</f>
        <v>330879</v>
      </c>
      <c r="AU12" s="113">
        <f>'Pt 2 Premium and Claims'!AU$54</f>
        <v>0</v>
      </c>
      <c r="AV12" s="318"/>
      <c r="AW12" s="323"/>
    </row>
    <row r="13" spans="1:49" ht="25.5" x14ac:dyDescent="0.2">
      <c r="B13" s="161" t="s">
        <v>230</v>
      </c>
      <c r="C13" s="68" t="s">
        <v>37</v>
      </c>
      <c r="D13" s="115">
        <v>1718728</v>
      </c>
      <c r="E13" s="116">
        <v>1972517.12</v>
      </c>
      <c r="F13" s="116"/>
      <c r="G13" s="295"/>
      <c r="H13" s="296"/>
      <c r="I13" s="115">
        <v>1972517</v>
      </c>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5453638</v>
      </c>
      <c r="AT13" s="119"/>
      <c r="AU13" s="119"/>
      <c r="AV13" s="317"/>
      <c r="AW13" s="324"/>
    </row>
    <row r="14" spans="1:49" ht="25.5" x14ac:dyDescent="0.2">
      <c r="B14" s="161" t="s">
        <v>231</v>
      </c>
      <c r="C14" s="68" t="s">
        <v>6</v>
      </c>
      <c r="D14" s="115">
        <v>75370</v>
      </c>
      <c r="E14" s="116">
        <v>77949.06</v>
      </c>
      <c r="F14" s="116"/>
      <c r="G14" s="294"/>
      <c r="H14" s="297"/>
      <c r="I14" s="115">
        <v>77949</v>
      </c>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1299512</v>
      </c>
      <c r="AT14" s="119"/>
      <c r="AU14" s="119"/>
      <c r="AV14" s="317"/>
      <c r="AW14" s="324"/>
    </row>
    <row r="15" spans="1:49" ht="38.25" x14ac:dyDescent="0.2">
      <c r="B15" s="161" t="s">
        <v>232</v>
      </c>
      <c r="C15" s="68" t="s">
        <v>7</v>
      </c>
      <c r="D15" s="115">
        <v>1146805</v>
      </c>
      <c r="E15" s="116">
        <v>1093</v>
      </c>
      <c r="F15" s="116"/>
      <c r="G15" s="294"/>
      <c r="H15" s="300"/>
      <c r="I15" s="115">
        <v>1093</v>
      </c>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627473</v>
      </c>
      <c r="AT15" s="119">
        <v>7881</v>
      </c>
      <c r="AU15" s="119"/>
      <c r="AV15" s="317"/>
      <c r="AW15" s="324"/>
    </row>
    <row r="16" spans="1:49" ht="25.5" x14ac:dyDescent="0.2">
      <c r="B16" s="161" t="s">
        <v>233</v>
      </c>
      <c r="C16" s="68" t="s">
        <v>61</v>
      </c>
      <c r="D16" s="115">
        <v>-3837608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2105000</v>
      </c>
      <c r="AT17" s="119">
        <v>-45000</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2202</v>
      </c>
      <c r="E22" s="121">
        <f>'Pt 2 Premium and Claims'!E$55</f>
        <v>2202</v>
      </c>
      <c r="F22" s="121">
        <f>'Pt 2 Premium and Claims'!F$55</f>
        <v>0</v>
      </c>
      <c r="G22" s="121">
        <f>'Pt 2 Premium and Claims'!G$55</f>
        <v>0</v>
      </c>
      <c r="H22" s="121">
        <f>'Pt 2 Premium and Claims'!H$55</f>
        <v>0</v>
      </c>
      <c r="I22" s="120">
        <f>'Pt 2 Premium and Claims'!I$55</f>
        <v>2202</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1720185.4604</v>
      </c>
      <c r="E25" s="116">
        <v>910439.80039999995</v>
      </c>
      <c r="F25" s="116"/>
      <c r="G25" s="116"/>
      <c r="H25" s="116"/>
      <c r="I25" s="115">
        <v>1156629</v>
      </c>
      <c r="J25" s="115"/>
      <c r="K25" s="116"/>
      <c r="L25" s="116"/>
      <c r="M25" s="116"/>
      <c r="N25" s="116"/>
      <c r="O25" s="115"/>
      <c r="P25" s="115">
        <v>-5396.8534280000003</v>
      </c>
      <c r="Q25" s="116">
        <v>-5396.8534280000003</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1089647.2560000001</v>
      </c>
      <c r="AT25" s="119">
        <v>62761.788139999997</v>
      </c>
      <c r="AU25" s="119"/>
      <c r="AV25" s="119"/>
      <c r="AW25" s="324"/>
    </row>
    <row r="26" spans="1:49" s="11" customFormat="1" x14ac:dyDescent="0.2">
      <c r="A26" s="41"/>
      <c r="B26" s="164" t="s">
        <v>243</v>
      </c>
      <c r="C26" s="68"/>
      <c r="D26" s="115"/>
      <c r="E26" s="116">
        <v>20129</v>
      </c>
      <c r="F26" s="116"/>
      <c r="G26" s="116"/>
      <c r="H26" s="116"/>
      <c r="I26" s="115">
        <v>20129</v>
      </c>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299417.16000000003</v>
      </c>
      <c r="E27" s="116">
        <v>299417.16000000003</v>
      </c>
      <c r="F27" s="116"/>
      <c r="G27" s="116"/>
      <c r="H27" s="116"/>
      <c r="I27" s="115">
        <v>299417</v>
      </c>
      <c r="J27" s="115"/>
      <c r="K27" s="116"/>
      <c r="L27" s="116"/>
      <c r="M27" s="116"/>
      <c r="N27" s="116"/>
      <c r="O27" s="115"/>
      <c r="P27" s="115">
        <v>5322.8400000000011</v>
      </c>
      <c r="Q27" s="116">
        <v>5322.8400000000011</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623745.29999999993</v>
      </c>
      <c r="AT27" s="119">
        <v>7821.7</v>
      </c>
      <c r="AU27" s="119"/>
      <c r="AV27" s="320"/>
      <c r="AW27" s="324"/>
    </row>
    <row r="28" spans="1:49" s="11" customFormat="1" x14ac:dyDescent="0.2">
      <c r="A28" s="41"/>
      <c r="B28" s="164" t="s">
        <v>245</v>
      </c>
      <c r="C28" s="68"/>
      <c r="D28" s="115">
        <v>32245.010000000002</v>
      </c>
      <c r="E28" s="116">
        <v>88612.349999999991</v>
      </c>
      <c r="F28" s="116"/>
      <c r="G28" s="116"/>
      <c r="H28" s="116"/>
      <c r="I28" s="115">
        <v>88612</v>
      </c>
      <c r="J28" s="115"/>
      <c r="K28" s="116"/>
      <c r="L28" s="116"/>
      <c r="M28" s="116"/>
      <c r="N28" s="116"/>
      <c r="O28" s="115"/>
      <c r="P28" s="115">
        <v>74.009999999999991</v>
      </c>
      <c r="Q28" s="116">
        <v>2546.92</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3728.15</v>
      </c>
      <c r="AT28" s="119">
        <v>59.49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56914.557799999995</v>
      </c>
      <c r="E30" s="116">
        <v>65897.767799999987</v>
      </c>
      <c r="F30" s="116"/>
      <c r="G30" s="116"/>
      <c r="H30" s="116"/>
      <c r="I30" s="115">
        <v>80512</v>
      </c>
      <c r="J30" s="115"/>
      <c r="K30" s="116"/>
      <c r="L30" s="116"/>
      <c r="M30" s="116"/>
      <c r="N30" s="116"/>
      <c r="O30" s="115"/>
      <c r="P30" s="115"/>
      <c r="Q30" s="116">
        <v>258.13495450000005</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69316.432990000001</v>
      </c>
      <c r="AT30" s="119">
        <v>3754.8695459999999</v>
      </c>
      <c r="AU30" s="119"/>
      <c r="AV30" s="119"/>
      <c r="AW30" s="324"/>
    </row>
    <row r="31" spans="1:49" x14ac:dyDescent="0.2">
      <c r="B31" s="164" t="s">
        <v>248</v>
      </c>
      <c r="C31" s="68"/>
      <c r="D31" s="115">
        <v>80480.490000000005</v>
      </c>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482883.00999999995</v>
      </c>
      <c r="F34" s="116"/>
      <c r="G34" s="116"/>
      <c r="H34" s="116"/>
      <c r="I34" s="115">
        <v>482883</v>
      </c>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25437.689999999995</v>
      </c>
      <c r="E35" s="116">
        <v>844729.27</v>
      </c>
      <c r="F35" s="116"/>
      <c r="G35" s="116"/>
      <c r="H35" s="116"/>
      <c r="I35" s="115">
        <v>844729</v>
      </c>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36217.94</v>
      </c>
      <c r="AT35" s="119">
        <v>574.77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80934</v>
      </c>
      <c r="E37" s="124">
        <v>80933.97</v>
      </c>
      <c r="F37" s="124"/>
      <c r="G37" s="124"/>
      <c r="H37" s="124"/>
      <c r="I37" s="123">
        <v>80934</v>
      </c>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619495</v>
      </c>
      <c r="AT37" s="125">
        <v>12</v>
      </c>
      <c r="AU37" s="125"/>
      <c r="AV37" s="125"/>
      <c r="AW37" s="323"/>
    </row>
    <row r="38" spans="1:49" x14ac:dyDescent="0.2">
      <c r="B38" s="161" t="s">
        <v>255</v>
      </c>
      <c r="C38" s="68" t="s">
        <v>16</v>
      </c>
      <c r="D38" s="115">
        <v>18668</v>
      </c>
      <c r="E38" s="116">
        <v>18667.669999999998</v>
      </c>
      <c r="F38" s="116"/>
      <c r="G38" s="116"/>
      <c r="H38" s="116"/>
      <c r="I38" s="115">
        <v>18668</v>
      </c>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286242</v>
      </c>
      <c r="AT38" s="119">
        <v>1</v>
      </c>
      <c r="AU38" s="119"/>
      <c r="AV38" s="119"/>
      <c r="AW38" s="324"/>
    </row>
    <row r="39" spans="1:49" x14ac:dyDescent="0.2">
      <c r="B39" s="164" t="s">
        <v>256</v>
      </c>
      <c r="C39" s="68" t="s">
        <v>17</v>
      </c>
      <c r="D39" s="115">
        <v>33781</v>
      </c>
      <c r="E39" s="116">
        <v>33780.78</v>
      </c>
      <c r="F39" s="116"/>
      <c r="G39" s="116"/>
      <c r="H39" s="116"/>
      <c r="I39" s="115">
        <v>33781</v>
      </c>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148675</v>
      </c>
      <c r="AT39" s="119"/>
      <c r="AU39" s="119"/>
      <c r="AV39" s="119"/>
      <c r="AW39" s="324"/>
    </row>
    <row r="40" spans="1:49" x14ac:dyDescent="0.2">
      <c r="B40" s="164" t="s">
        <v>257</v>
      </c>
      <c r="C40" s="68" t="s">
        <v>38</v>
      </c>
      <c r="D40" s="115">
        <v>59606</v>
      </c>
      <c r="E40" s="116">
        <v>59606.460000000006</v>
      </c>
      <c r="F40" s="116"/>
      <c r="G40" s="116"/>
      <c r="H40" s="116"/>
      <c r="I40" s="115">
        <v>59606</v>
      </c>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455109</v>
      </c>
      <c r="AT40" s="119">
        <v>221</v>
      </c>
      <c r="AU40" s="119"/>
      <c r="AV40" s="119"/>
      <c r="AW40" s="324"/>
    </row>
    <row r="41" spans="1:49" s="11" customFormat="1" ht="25.5" x14ac:dyDescent="0.2">
      <c r="A41" s="41"/>
      <c r="B41" s="164" t="s">
        <v>258</v>
      </c>
      <c r="C41" s="68" t="s">
        <v>129</v>
      </c>
      <c r="D41" s="115">
        <v>25561</v>
      </c>
      <c r="E41" s="116">
        <v>25561.19</v>
      </c>
      <c r="F41" s="116"/>
      <c r="G41" s="116"/>
      <c r="H41" s="116"/>
      <c r="I41" s="115">
        <v>25561</v>
      </c>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35535</v>
      </c>
      <c r="AT41" s="119">
        <v>703</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262571</v>
      </c>
      <c r="E44" s="124">
        <v>262571</v>
      </c>
      <c r="F44" s="124"/>
      <c r="G44" s="124"/>
      <c r="H44" s="124"/>
      <c r="I44" s="123">
        <v>262571</v>
      </c>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759437</v>
      </c>
      <c r="AT44" s="125">
        <v>4513</v>
      </c>
      <c r="AU44" s="125"/>
      <c r="AV44" s="125"/>
      <c r="AW44" s="323"/>
    </row>
    <row r="45" spans="1:49" x14ac:dyDescent="0.2">
      <c r="B45" s="167" t="s">
        <v>262</v>
      </c>
      <c r="C45" s="68" t="s">
        <v>19</v>
      </c>
      <c r="D45" s="115">
        <v>339637</v>
      </c>
      <c r="E45" s="116">
        <v>339637</v>
      </c>
      <c r="F45" s="116"/>
      <c r="G45" s="116"/>
      <c r="H45" s="116"/>
      <c r="I45" s="115">
        <v>339637</v>
      </c>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260197</v>
      </c>
      <c r="AT45" s="119">
        <v>4157</v>
      </c>
      <c r="AU45" s="119"/>
      <c r="AV45" s="119"/>
      <c r="AW45" s="324"/>
    </row>
    <row r="46" spans="1:49" x14ac:dyDescent="0.2">
      <c r="B46" s="167" t="s">
        <v>263</v>
      </c>
      <c r="C46" s="68" t="s">
        <v>20</v>
      </c>
      <c r="D46" s="115">
        <v>448274</v>
      </c>
      <c r="E46" s="116">
        <v>448274</v>
      </c>
      <c r="F46" s="116"/>
      <c r="G46" s="116"/>
      <c r="H46" s="116"/>
      <c r="I46" s="115">
        <v>448274</v>
      </c>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918377</v>
      </c>
      <c r="AT46" s="119">
        <v>10640</v>
      </c>
      <c r="AU46" s="119"/>
      <c r="AV46" s="119"/>
      <c r="AW46" s="324"/>
    </row>
    <row r="47" spans="1:49" x14ac:dyDescent="0.2">
      <c r="B47" s="167" t="s">
        <v>264</v>
      </c>
      <c r="C47" s="68" t="s">
        <v>21</v>
      </c>
      <c r="D47" s="115">
        <v>657123</v>
      </c>
      <c r="E47" s="116">
        <v>657123</v>
      </c>
      <c r="F47" s="116"/>
      <c r="G47" s="116"/>
      <c r="H47" s="116"/>
      <c r="I47" s="115">
        <v>657123</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949214</v>
      </c>
      <c r="AT47" s="119">
        <v>32671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199113.07562799996</v>
      </c>
      <c r="E49" s="116">
        <v>104087.60562799999</v>
      </c>
      <c r="F49" s="116"/>
      <c r="G49" s="116"/>
      <c r="H49" s="116"/>
      <c r="I49" s="115">
        <v>104088</v>
      </c>
      <c r="J49" s="115"/>
      <c r="K49" s="116"/>
      <c r="L49" s="116"/>
      <c r="M49" s="116"/>
      <c r="N49" s="116"/>
      <c r="O49" s="115"/>
      <c r="P49" s="115">
        <v>-4956.7183825000002</v>
      </c>
      <c r="Q49" s="116">
        <v>-7687.7583825000002</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124243.41700999998</v>
      </c>
      <c r="AT49" s="119">
        <v>11098.770454000001</v>
      </c>
      <c r="AU49" s="119"/>
      <c r="AV49" s="119"/>
      <c r="AW49" s="324"/>
    </row>
    <row r="50" spans="2:49" ht="25.5" x14ac:dyDescent="0.2">
      <c r="B50" s="161" t="s">
        <v>266</v>
      </c>
      <c r="C50" s="68"/>
      <c r="D50" s="115">
        <v>1302.0799999999992</v>
      </c>
      <c r="E50" s="116">
        <v>1302.0799999999992</v>
      </c>
      <c r="F50" s="116"/>
      <c r="G50" s="116"/>
      <c r="H50" s="116"/>
      <c r="I50" s="115">
        <v>1302</v>
      </c>
      <c r="J50" s="115"/>
      <c r="K50" s="116"/>
      <c r="L50" s="116"/>
      <c r="M50" s="116"/>
      <c r="N50" s="116"/>
      <c r="O50" s="115"/>
      <c r="P50" s="115">
        <v>30.18</v>
      </c>
      <c r="Q50" s="116">
        <v>30.18</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2235.6600000000003</v>
      </c>
      <c r="AT50" s="119">
        <v>27.890000000000004</v>
      </c>
      <c r="AU50" s="119"/>
      <c r="AV50" s="119"/>
      <c r="AW50" s="324"/>
    </row>
    <row r="51" spans="2:49" x14ac:dyDescent="0.2">
      <c r="B51" s="161" t="s">
        <v>267</v>
      </c>
      <c r="C51" s="68"/>
      <c r="D51" s="115">
        <v>2523332</v>
      </c>
      <c r="E51" s="116">
        <v>2523332</v>
      </c>
      <c r="F51" s="116"/>
      <c r="G51" s="116"/>
      <c r="H51" s="116"/>
      <c r="I51" s="115">
        <v>2523332</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3293017</v>
      </c>
      <c r="AT51" s="119">
        <v>55509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7537</v>
      </c>
      <c r="E56" s="128">
        <v>7325</v>
      </c>
      <c r="F56" s="128"/>
      <c r="G56" s="128"/>
      <c r="H56" s="128"/>
      <c r="I56" s="127">
        <v>7325</v>
      </c>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5950</v>
      </c>
      <c r="AT56" s="129">
        <v>1726</v>
      </c>
      <c r="AU56" s="129"/>
      <c r="AV56" s="129"/>
      <c r="AW56" s="315"/>
    </row>
    <row r="57" spans="2:49" x14ac:dyDescent="0.2">
      <c r="B57" s="167" t="s">
        <v>273</v>
      </c>
      <c r="C57" s="68" t="s">
        <v>25</v>
      </c>
      <c r="D57" s="130">
        <v>12106</v>
      </c>
      <c r="E57" s="131">
        <v>11727</v>
      </c>
      <c r="F57" s="131"/>
      <c r="G57" s="131"/>
      <c r="H57" s="131"/>
      <c r="I57" s="130">
        <v>11727</v>
      </c>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5950</v>
      </c>
      <c r="AT57" s="132">
        <v>2719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43</v>
      </c>
      <c r="AU58" s="132"/>
      <c r="AV58" s="132"/>
      <c r="AW58" s="316"/>
    </row>
    <row r="59" spans="2:49" x14ac:dyDescent="0.2">
      <c r="B59" s="167" t="s">
        <v>275</v>
      </c>
      <c r="C59" s="68" t="s">
        <v>27</v>
      </c>
      <c r="D59" s="130">
        <v>123932</v>
      </c>
      <c r="E59" s="131">
        <v>119232</v>
      </c>
      <c r="F59" s="131"/>
      <c r="G59" s="131"/>
      <c r="H59" s="131"/>
      <c r="I59" s="130">
        <v>119232</v>
      </c>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70738</v>
      </c>
      <c r="AT59" s="132">
        <v>33761</v>
      </c>
      <c r="AU59" s="132"/>
      <c r="AV59" s="132"/>
      <c r="AW59" s="316"/>
    </row>
    <row r="60" spans="2:49" x14ac:dyDescent="0.2">
      <c r="B60" s="167" t="s">
        <v>276</v>
      </c>
      <c r="C60" s="68"/>
      <c r="D60" s="133">
        <f>D$59/12</f>
        <v>10327.666666666666</v>
      </c>
      <c r="E60" s="134">
        <f>E$59/12</f>
        <v>9936</v>
      </c>
      <c r="F60" s="134">
        <f>F$59/12</f>
        <v>0</v>
      </c>
      <c r="G60" s="134">
        <f>G$59/12</f>
        <v>0</v>
      </c>
      <c r="H60" s="134">
        <f>H$59/12</f>
        <v>0</v>
      </c>
      <c r="I60" s="133">
        <f>I$59/12</f>
        <v>9936</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5894.833333333333</v>
      </c>
      <c r="AT60" s="135">
        <f>AT$59/12</f>
        <v>2813.4166666666665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1183032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566594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25750838</v>
      </c>
      <c r="E5" s="124">
        <v>23750751.719999999</v>
      </c>
      <c r="F5" s="124"/>
      <c r="G5" s="136"/>
      <c r="H5" s="136"/>
      <c r="I5" s="123">
        <v>23750752</v>
      </c>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50277367</v>
      </c>
      <c r="AT5" s="125">
        <v>602843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629694</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27780</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3555669.5200000009</v>
      </c>
      <c r="F15" s="116"/>
      <c r="G15" s="116"/>
      <c r="H15" s="116"/>
      <c r="I15" s="115">
        <v>3555670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-9861880.0700000003</v>
      </c>
      <c r="F16" s="116"/>
      <c r="G16" s="116"/>
      <c r="H16" s="116"/>
      <c r="I16" s="115">
        <v>-9861880</v>
      </c>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8843447</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v>14284377.83</v>
      </c>
      <c r="F20" s="116"/>
      <c r="G20" s="116"/>
      <c r="H20" s="116"/>
      <c r="I20" s="115">
        <v>14284378</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16717708</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39832011</v>
      </c>
      <c r="AT23" s="119">
        <v>285315</v>
      </c>
      <c r="AU23" s="119"/>
      <c r="AV23" s="317"/>
      <c r="AW23" s="324"/>
    </row>
    <row r="24" spans="2:49" ht="28.5" customHeight="1" x14ac:dyDescent="0.2">
      <c r="B24" s="184" t="s">
        <v>114</v>
      </c>
      <c r="C24" s="139"/>
      <c r="D24" s="299"/>
      <c r="E24" s="116">
        <v>22105102.789999999</v>
      </c>
      <c r="F24" s="116"/>
      <c r="G24" s="116"/>
      <c r="H24" s="116"/>
      <c r="I24" s="115">
        <v>22105103</v>
      </c>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3855175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4556643</v>
      </c>
      <c r="AT26" s="119">
        <v>45564</v>
      </c>
      <c r="AU26" s="119"/>
      <c r="AV26" s="317"/>
      <c r="AW26" s="324"/>
    </row>
    <row r="27" spans="2:49" s="11" customFormat="1" ht="25.5" x14ac:dyDescent="0.2">
      <c r="B27" s="184" t="s">
        <v>85</v>
      </c>
      <c r="C27" s="139"/>
      <c r="D27" s="299"/>
      <c r="E27" s="116">
        <v>1353069.4889999996</v>
      </c>
      <c r="F27" s="116"/>
      <c r="G27" s="116"/>
      <c r="H27" s="116"/>
      <c r="I27" s="115">
        <v>1353069</v>
      </c>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8465</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629694</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27780</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v>1393794.4400000002</v>
      </c>
      <c r="F46" s="116"/>
      <c r="G46" s="116"/>
      <c r="H46" s="116"/>
      <c r="I46" s="115">
        <v>1393794</v>
      </c>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25888</v>
      </c>
      <c r="E49" s="116">
        <v>77949.06</v>
      </c>
      <c r="F49" s="116"/>
      <c r="G49" s="116"/>
      <c r="H49" s="116"/>
      <c r="I49" s="115">
        <v>77949</v>
      </c>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325387</v>
      </c>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21176689</v>
      </c>
      <c r="E54" s="121">
        <f>E24+E27+E31+E35-E36+E39+E42+E45+E46-E49+E51+E52+E53</f>
        <v>24774017.659000002</v>
      </c>
      <c r="F54" s="121">
        <f>F24+F27+F31+F35-F36+F39+F42+F45+F46-F49+F51+F52+F53</f>
        <v>0</v>
      </c>
      <c r="G54" s="121">
        <f>G24+G27+G31+G35-G36+G39+G42+G45+G46-G49+G51+G52+G53</f>
        <v>0</v>
      </c>
      <c r="H54" s="121">
        <f>H24+H27+H31+H35-H36+H39+H42+H45+H46-H49+H51+H52+H53</f>
        <v>0</v>
      </c>
      <c r="I54" s="120">
        <f>I24+I27+I31+I35-I36+I39+I42+I45+I46-I49+I51+I52+I53</f>
        <v>24774017</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44099512</v>
      </c>
      <c r="AT54" s="122">
        <f>AT23+AT26-AT28+AT30-AT32+AT34-AT36+AT38+AT41-AT43+AT45+AT46-AT47-AT49+AT50+AT51+AT52+AT53</f>
        <v>330879</v>
      </c>
      <c r="AU54" s="122">
        <f>AU23+AU26-AU28+AU30-AU32+AU34-AU36+AU38+AU41-AU43+AU45+AU46-AU47-AU49+AU50+AU51+AU52+AU53</f>
        <v>0</v>
      </c>
      <c r="AV54" s="317"/>
      <c r="AW54" s="324"/>
    </row>
    <row r="55" spans="2:49" ht="25.5" x14ac:dyDescent="0.2">
      <c r="B55" s="187" t="s">
        <v>304</v>
      </c>
      <c r="C55" s="143" t="s">
        <v>28</v>
      </c>
      <c r="D55" s="120">
        <f>MIN(MAX(0,D56),MAX(0,D57))</f>
        <v>2202</v>
      </c>
      <c r="E55" s="121">
        <f>MIN(MAX(0,E56),MAX(0,E57))</f>
        <v>2202</v>
      </c>
      <c r="F55" s="121">
        <f>MIN(MAX(0,F56),MAX(0,F57))</f>
        <v>0</v>
      </c>
      <c r="G55" s="121">
        <f>MIN(MAX(0,G56),MAX(0,G57))</f>
        <v>0</v>
      </c>
      <c r="H55" s="121">
        <f>MIN(MAX(0,H56),MAX(0,H57))</f>
        <v>0</v>
      </c>
      <c r="I55" s="120">
        <f>MIN(MAX(0,I56),MAX(0,I57))</f>
        <v>2202</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40755</v>
      </c>
      <c r="E56" s="116">
        <v>40755</v>
      </c>
      <c r="F56" s="116"/>
      <c r="G56" s="116"/>
      <c r="H56" s="116"/>
      <c r="I56" s="115">
        <v>40755</v>
      </c>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2202</v>
      </c>
      <c r="E57" s="116">
        <v>2202</v>
      </c>
      <c r="F57" s="116"/>
      <c r="G57" s="116"/>
      <c r="H57" s="116"/>
      <c r="I57" s="115">
        <v>2202</v>
      </c>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448541</v>
      </c>
      <c r="AT57" s="119"/>
      <c r="AU57" s="119"/>
      <c r="AV57" s="119"/>
      <c r="AW57" s="324"/>
    </row>
    <row r="58" spans="2:49" s="11" customFormat="1" x14ac:dyDescent="0.2">
      <c r="B58" s="190" t="s">
        <v>484</v>
      </c>
      <c r="C58" s="191"/>
      <c r="D58" s="192"/>
      <c r="E58" s="193">
        <v>2813486.9299999997</v>
      </c>
      <c r="F58" s="193"/>
      <c r="G58" s="193"/>
      <c r="H58" s="193"/>
      <c r="I58" s="192">
        <v>2813487</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24776219.659000002</v>
      </c>
      <c r="F6" s="121">
        <f>SUM(C6:E6)</f>
        <v>24776219.659000002</v>
      </c>
      <c r="G6" s="122">
        <f>SUM('Pt 1 Summary of Data'!I$12,'Pt 1 Summary of Data'!I$22)</f>
        <v>24776219</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218550.07</v>
      </c>
      <c r="F7" s="121">
        <f>SUM(C7:E7)</f>
        <v>218550.07</v>
      </c>
      <c r="G7" s="122">
        <f>SUM('Pt 1 Summary of Data'!I$37:I$41)+MAX(0,MIN('Pt 1 Summary of Data'!I$42,0.3%*('Pt 1 Summary of Data'!I$5-SUM(G$9:G$10))))</f>
        <v>218550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v>2813486.9299999997</v>
      </c>
      <c r="F8" s="275">
        <f>SUM(C8:E8)</f>
        <v>2813486.9299999997</v>
      </c>
      <c r="G8" s="276">
        <v>2813487</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3555669.5200000009</v>
      </c>
      <c r="F9" s="121">
        <f>SUM(C9:E9)</f>
        <v>3555669.5200000009</v>
      </c>
      <c r="G9" s="122">
        <f>'Pt 2 Premium and Claims'!I$15</f>
        <v>3555670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-9861880.0700000003</v>
      </c>
      <c r="F10" s="121">
        <f>SUM(C10:E10)</f>
        <v>-9861880.0700000003</v>
      </c>
      <c r="G10" s="122">
        <f>'Pt 2 Premium and Claims'!I$16</f>
        <v>-9861880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8843447</v>
      </c>
      <c r="F11" s="121">
        <f>SUM(C11:E11)</f>
        <v>8843447</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19644046.348999999</v>
      </c>
      <c r="F12" s="121">
        <f>IFERROR(SUM(C$12:E$12)+C$17*MAX(0,E$49-C$49)+D$17*MAX(0,E$49-D$49),0)</f>
        <v>19644046.348999999</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23750751.719999999</v>
      </c>
      <c r="F15" s="112">
        <f>SUM(C15:E15)</f>
        <v>23750751.719999999</v>
      </c>
      <c r="G15" s="113">
        <f>SUM('Pt 1 Summary of Data'!I$5:I$7)-SUM(G$9:G$10)</f>
        <v>23750752</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2712108.3582000001</v>
      </c>
      <c r="F16" s="121">
        <f>SUM(C16:E16)</f>
        <v>2712108.3582000001</v>
      </c>
      <c r="G16" s="122">
        <f>SUM('Pt 1 Summary of Data'!I$25:I$28,'Pt 1 Summary of Data'!I$30,'Pt 1 Summary of Data'!I$34:I$35)+IF('Company Information'!$C$15="No",IF(MAX('Pt 1 Summary of Data'!I$31:I$32)=0,MIN('Pt 1 Summary of Data'!I$31:I$32),MAX('Pt 1 Summary of Data'!I$31:I$32)),SUM('Pt 1 Summary of Data'!I$31:I$32))</f>
        <v>2972911</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2731.0415265000011</v>
      </c>
      <c r="P16" s="121">
        <f>SUM(M16:O16)</f>
        <v>2731.0415265000011</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21038643.3618</v>
      </c>
      <c r="F17" s="121">
        <f>F$15-F$16+IF(AND(OR('Company Information'!$C$12="District of Columbia",'Company Information'!$C$12="Massachusetts",'Company Information'!$C$12="Vermont"),SUM($C$6:$F$11,$C$15:$F$16,$C$37:$D$37)&lt;&gt;0),K$15-K$16,0)</f>
        <v>21038643.3618</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-2731.0415265000011</v>
      </c>
      <c r="P17" s="121">
        <f>P$15-P$16</f>
        <v>-2731.0415265000011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28487492</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4336327</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1.3710515928964901</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4.7399999999999998E-2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1608204.8933999999</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-12045978</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1608204.8933999999</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8113348.8634000001</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8917442.8934000004</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8113348.8634000001</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7128479.2000000002</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15637403.136599999</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7128479.2000000002</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16622272.800000001</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1.7138144911206126</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8843447</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8843447</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9936</v>
      </c>
      <c r="F37" s="262">
        <f>SUM(C$37:E$37)+IF(AND(OR('Company Information'!$C$12="District of Columbia",'Company Information'!$C$12="Massachusetts",'Company Information'!$C$12="Vermont"),SUM($C$6:$F$11,$C$15:$F$16,$C$37:$D$37)&lt;&gt;0,SUM(C$37:D$37)&lt;&gt;SUM(H$37:I$37)),SUM(H$37:I$37),0)</f>
        <v>9936</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2.6140799999999999E-2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2.6140799999999999E-2</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0.93371259786968108</v>
      </c>
      <c r="F44" s="266">
        <f>IF(OR(F$37&lt;1000,F$17&lt;=0),"",F$12/F$17)</f>
        <v>0.93371259786968108</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2.6140799999999999E-2</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0.96</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v>0.8</v>
      </c>
      <c r="F49" s="147"/>
      <c r="G49" s="318"/>
      <c r="H49" s="146"/>
      <c r="I49" s="147"/>
      <c r="J49" s="147">
        <v>0.8</v>
      </c>
      <c r="K49" s="147"/>
      <c r="L49" s="318"/>
      <c r="M49" s="146"/>
      <c r="N49" s="147"/>
      <c r="O49" s="147">
        <v>0.85</v>
      </c>
      <c r="P49" s="147"/>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0.96</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21038643.3618</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7325</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