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O12" i="10"/>
  <c r="N12" i="10"/>
  <c r="M12" i="10"/>
  <c r="K11" i="10"/>
  <c r="J11" i="10"/>
  <c r="F11" i="10"/>
  <c r="E11" i="10"/>
  <c r="L10" i="10"/>
  <c r="K10" i="10"/>
  <c r="J10" i="10"/>
  <c r="G10" i="10"/>
  <c r="F10" i="10"/>
  <c r="E10" i="10"/>
  <c r="G9" i="10"/>
  <c r="G7" i="10" s="1"/>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X55" i="18"/>
  <c r="W55" i="18"/>
  <c r="V55" i="18"/>
  <c r="U55" i="18"/>
  <c r="T55" i="18"/>
  <c r="S55" i="18"/>
  <c r="R55" i="18"/>
  <c r="R22" i="4" s="1"/>
  <c r="Q55" i="18"/>
  <c r="P55" i="18"/>
  <c r="O55" i="18"/>
  <c r="N55" i="18"/>
  <c r="M55" i="18"/>
  <c r="L55" i="18"/>
  <c r="L22" i="4" s="1"/>
  <c r="K55" i="18"/>
  <c r="J55" i="18"/>
  <c r="I55" i="18"/>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Y22" i="4"/>
  <c r="X22" i="4"/>
  <c r="W22" i="4"/>
  <c r="V22" i="4"/>
  <c r="U22" i="4"/>
  <c r="T22" i="4"/>
  <c r="S22" i="4"/>
  <c r="Q22" i="4"/>
  <c r="P22" i="4"/>
  <c r="O22" i="4"/>
  <c r="N22" i="4"/>
  <c r="M22" i="4"/>
  <c r="K22" i="4"/>
  <c r="J22" i="4"/>
  <c r="I22" i="4"/>
  <c r="AU5" i="4"/>
  <c r="AT5" i="4"/>
  <c r="AS5" i="4"/>
  <c r="AC5" i="4"/>
  <c r="AB5" i="4"/>
  <c r="AA5" i="4"/>
  <c r="Z5" i="4"/>
  <c r="Y5" i="4"/>
  <c r="X5" i="4"/>
  <c r="W5" i="4"/>
  <c r="V5" i="4"/>
  <c r="U5" i="4"/>
  <c r="T5" i="4"/>
  <c r="S5" i="4"/>
  <c r="R5" i="4"/>
  <c r="Q5" i="4"/>
  <c r="P5" i="4"/>
  <c r="O5" i="4"/>
  <c r="N5" i="4"/>
  <c r="M5" i="4"/>
  <c r="L5" i="4"/>
  <c r="K5" i="4"/>
  <c r="J15" i="10" s="1"/>
  <c r="J5" i="4"/>
  <c r="I5" i="4"/>
  <c r="G15" i="10" s="1"/>
  <c r="H5" i="4"/>
  <c r="G5" i="4"/>
  <c r="E15" i="10" s="1"/>
  <c r="F5" i="4"/>
  <c r="E5" i="4"/>
  <c r="D5" i="4"/>
  <c r="G25" i="10" l="1"/>
  <c r="G28" i="10"/>
  <c r="G21" i="10"/>
  <c r="F15" i="10"/>
  <c r="K15" i="10"/>
  <c r="G29" i="10"/>
  <c r="G19" i="10"/>
  <c r="J7" i="10"/>
  <c r="G20" i="10"/>
  <c r="X46" i="10"/>
  <c r="T47" i="10"/>
  <c r="T50" i="10" s="1"/>
  <c r="AB38" i="10"/>
  <c r="X38" i="10"/>
  <c r="L23" i="10"/>
  <c r="L27" i="10" s="1"/>
  <c r="L31" i="10" s="1"/>
  <c r="L32" i="10" s="1"/>
  <c r="L33" i="10" s="1"/>
  <c r="W13" i="10"/>
  <c r="V13" i="10"/>
  <c r="Q13" i="10"/>
  <c r="T13" i="10"/>
  <c r="U13" i="10"/>
  <c r="X13" i="10"/>
  <c r="S13" i="10"/>
  <c r="R13" i="10"/>
  <c r="E7" i="10"/>
  <c r="K7" i="10" l="1"/>
  <c r="I17" i="10"/>
  <c r="I44" i="10" s="1"/>
  <c r="J37" i="10"/>
  <c r="K17" i="10"/>
  <c r="H12" i="10"/>
  <c r="L26" i="10"/>
  <c r="L30" i="10" s="1"/>
  <c r="F7" i="10"/>
  <c r="D17" i="10"/>
  <c r="D44" i="10" s="1"/>
  <c r="E37" i="10"/>
  <c r="C17" i="10"/>
  <c r="C44" i="10" s="1"/>
  <c r="F17" i="10"/>
  <c r="G24" i="10"/>
  <c r="G23" i="10" s="1"/>
  <c r="G27" i="10" s="1"/>
  <c r="K37" i="10" l="1"/>
  <c r="J44" i="10"/>
  <c r="F37" i="10"/>
  <c r="J17" i="10"/>
  <c r="J12" i="10"/>
  <c r="I12" i="10"/>
  <c r="E17" i="10"/>
  <c r="E44" i="10" s="1"/>
  <c r="E12" i="10"/>
  <c r="C12" i="10"/>
  <c r="F12" i="10" s="1"/>
  <c r="D12" i="10"/>
  <c r="H17" i="10"/>
  <c r="G31" i="10"/>
  <c r="G32" i="10" s="1"/>
  <c r="G33" i="10" s="1"/>
  <c r="G26" i="10"/>
  <c r="G30" i="10" s="1"/>
  <c r="F51" i="10" l="1"/>
  <c r="F44" i="10"/>
  <c r="F52" i="10"/>
  <c r="C11" i="16" s="1"/>
  <c r="F41" i="10"/>
  <c r="F38" i="10"/>
  <c r="H44" i="10"/>
  <c r="K12" i="10"/>
  <c r="K51" i="10"/>
  <c r="K52" i="10"/>
  <c r="D11" i="16" s="1"/>
  <c r="K41" i="10"/>
  <c r="K38" i="10"/>
  <c r="K44" i="10"/>
  <c r="F47" i="10" l="1"/>
  <c r="F50" i="10" s="1"/>
  <c r="F46" i="10"/>
  <c r="K47" i="10"/>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<sst xmlns="http://schemas.openxmlformats.org/spreadsheetml/2006/main" count="567" uniqueCount="506">
  <si>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</si>
  <si>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</si>
  <si>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</si>
  <si>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</si>
  <si>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</si>
  <si>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</si>
  <si>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</si>
  <si>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</si>
  <si>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</si>
  <si>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</si>
  <si>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</si>
  <si>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</si>
  <si>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</si>
  <si>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</si>
  <si>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</si>
  <si>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</si>
  <si>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</si>
  <si>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</si>
  <si>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</si>
  <si>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</si>
  <si>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</si>
  <si>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</si>
  <si>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</si>
  <si>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</si>
  <si>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</si>
  <si>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</si>
  <si>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</si>
  <si>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</si>
  <si>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</si>
  <si>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</si>
  <si>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</si>
  <si>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</si>
  <si>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</si>
  <si>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</si>
  <si>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</si>
  <si>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</si>
  <si>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</si>
  <si>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</si>
  <si>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</si>
  <si>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</si>
  <si>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</si>
  <si>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</si>
  <si>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</si>
  <si>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</si>
  <si>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</si>
  <si>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</si>
  <si>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</si>
  <si>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</si>
  <si>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</si>
  <si>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</si>
  <si>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</si>
  <si>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</si>
  <si>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</si>
  <si>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</si>
  <si>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</si>
  <si>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</si>
  <si>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</si>
  <si>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</si>
  <si>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</si>
  <si>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</si>
  <si>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</si>
  <si>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</si>
  <si>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</si>
  <si>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</si>
  <si>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</si>
  <si>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</si>
  <si>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</si>
  <si>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</si>
  <si>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</si>
  <si>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</si>
  <si>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</si>
  <si>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</si>
  <si>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</si>
  <si>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</si>
  <si>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</si>
  <si>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</si>
  <si>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</si>
  <si>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</si>
  <si>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</si>
  <si>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</si>
  <si>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</si>
  <si>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</si>
  <si>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</si>
  <si>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</si>
  <si>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</si>
  <si>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</si>
  <si>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</si>
  <si>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</si>
  <si>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</si>
  <si>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</si>
  <si>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</si>
  <si>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</si>
  <si>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</si>
  <si>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</si>
  <si>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</si>
  <si>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</si>
  <si>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</si>
  <si>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</si>
  <si>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</si>
  <si>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</si>
  <si>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</si>
  <si>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</si>
  <si>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</si>
  <si>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</si>
  <si>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</si>
  <si>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</si>
  <si>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</si>
  <si>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</si>
  <si>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</si>
  <si>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</si>
  <si>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</si>
  <si>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</si>
  <si>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</si>
  <si>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</si>
  <si>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</si>
  <si>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</si>
  <si>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</si>
  <si>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</si>
  <si>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</si>
  <si>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</si>
  <si>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</si>
  <si>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</si>
  <si>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</si>
  <si>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</si>
  <si>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</si>
  <si>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</si>
  <si>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</si>
  <si>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</si>
  <si>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</si>
  <si>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</si>
  <si>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</si>
  <si>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</si>
  <si>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</si>
  <si>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</si>
  <si>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</si>
  <si>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</si>
  <si>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</si>
  <si>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</si>
  <si>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</si>
  <si>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</si>
  <si>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</si>
  <si>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</si>
  <si>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</si>
  <si>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</si>
  <si>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</si>
  <si>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</si>
  <si>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</si>
  <si>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</si>
  <si>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</si>
  <si>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</si>
  <si>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</si>
  <si>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</si>
  <si>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</si>
  <si>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</si>
  <si>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</si>
  <si>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</si>
  <si>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</si>
  <si>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</si>
  <si>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</si>
  <si>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</si>
  <si>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</si>
  <si>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</si>
  <si>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</si>
  <si>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</si>
  <si>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</si>
  <si>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</si>
  <si>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</si>
  <si>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</si>
  <si>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</si>
  <si>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</si>
  <si>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</si>
  <si>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</si>
  <si>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</si>
  <si>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</si>
  <si>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</si>
  <si>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</si>
  <si>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</si>
  <si>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</si>
  <si>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</si>
  <si>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</si>
  <si>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</si>
  <si>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</si>
  <si>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</si>
  <si>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</si>
  <si>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</si>
  <si>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</si>
  <si>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</si>
  <si>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</si>
  <si>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</si>
  <si>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</si>
  <si>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</si>
  <si>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</si>
  <si>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</si>
  <si>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</si>
  <si>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</si>
  <si>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</si>
  <si>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</si>
  <si>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</si>
  <si>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</si>
  <si>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</si>
  <si>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</si>
  <si>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</si>
  <si>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</si>
  <si>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</si>
  <si>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</si>
  <si>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</si>
  <si>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</si>
  <si>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</si>
  <si>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</si>
  <si>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</si>
  <si>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</si>
  <si>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</si>
  <si>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</si>
  <si>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</si>
  <si>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</si>
  <si>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</si>
  <si>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</si>
  <si>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</si>
  <si>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</si>
  <si>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</si>
  <si>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</si>
  <si>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</si>
  <si>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</si>
  <si>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</si>
  <si>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</si>
  <si>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</si>
  <si>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</si>
  <si>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</si>
  <si>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</si>
  <si>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</si>
  <si>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</si>
  <si>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</si>
  <si>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</si>
  <si>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</si>
  <si>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</si>
  <si>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</si>
  <si>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</si>
  <si>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</si>
  <si>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</si>
  <si>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</si>
  <si>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</si>
  <si>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</si>
  <si>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</si>
  <si>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</si>
  <si>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</si>
  <si>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</si>
  <si>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</si>
  <si>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</si>
  <si>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</si>
  <si>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</si>
  <si>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</si>
  <si>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</si>
  <si>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</si>
  <si>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</si>
  <si>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</si>
  <si>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</si>
  <si>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</si>
  <si>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</si>
  <si>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</si>
  <si>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</si>
  <si>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</si>
  <si>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</si>
  <si>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</si>
  <si>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</si>
  <si>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</si>
  <si>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</si>
  <si>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</si>
  <si>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</si>
  <si>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</si>
  <si>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</si>
  <si>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</si>
  <si>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</si>
  <si>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</si>
  <si>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</si>
  <si>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</si>
  <si>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</si>
  <si>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</si>
  <si>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</si>
  <si>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</si>
  <si>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</si>
  <si>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</si>
  <si>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</si>
  <si>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</si>
  <si>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</si>
  <si>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</si>
  <si>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</si>
  <si>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</si>
  <si>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</si>
  <si>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</si>
  <si>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</si>
  <si>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</si>
  <si>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</si>
  <si>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</si>
  <si>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</si>
  <si>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</si>
  <si>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</si>
  <si>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</si>
  <si>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</si>
  <si>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</si>
  <si>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</si>
  <si>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</si>
  <si>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</si>
  <si>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</si>
  <si>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</si>
  <si>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</si>
  <si>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</si>
  <si>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</si>
  <si>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</si>
  <si>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</si>
  <si>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</si>
  <si>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</si>
  <si>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</si>
  <si>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</si>
  <si>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</si>
  <si>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</si>
  <si>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</si>
  <si>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</si>
  <si>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</si>
  <si>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</si>
  <si>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</si>
  <si>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</si>
  <si>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</si>
  <si>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</si>
  <si>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</si>
  <si>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</si>
  <si>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</si>
  <si>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</si>
  <si>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</si>
  <si>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</si>
  <si>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</si>
  <si>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</si>
  <si>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</si>
  <si>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</si>
  <si>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</si>
  <si>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</si>
  <si>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</si>
  <si>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</si>
  <si>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</si>
  <si>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</si>
  <si>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</si>
  <si>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</si>
  <si>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</si>
  <si>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</si>
  <si>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</si>
  <si>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</si>
  <si>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</si>
  <si>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</si>
  <si>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</si>
  <si>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</si>
  <si>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</si>
  <si>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</si>
  <si>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</si>
  <si>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</si>
  <si>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</si>
  <si>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</si>
  <si>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</si>
  <si>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</si>
  <si>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</si>
  <si>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</si>
  <si>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</si>
  <si>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</si>
  <si>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</si>
  <si>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</si>
  <si>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</si>
  <si>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</si>
  <si>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</si>
  <si>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</si>
  <si>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</si>
  <si>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</si>
  <si>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</si>
  <si>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</si>
  <si>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</si>
  <si>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</si>
  <si>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</si>
  <si>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</si>
  <si>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</si>
  <si>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</si>
  <si>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</si>
  <si>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</si>
  <si>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</si>
  <si>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</si>
  <si>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</si>
  <si>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</si>
  <si>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</si>
  <si>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</si>
  <si>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</si>
  <si>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</si>
  <si>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</si>
  <si>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</si>
  <si>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</si>
  <si>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</si>
  <si>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</si>
  <si>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</si>
  <si>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</si>
  <si>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</si>
  <si>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</si>
  <si>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</si>
  <si>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</si>
  <si>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</si>
  <si>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</si>
  <si>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</si>
  <si>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</si>
  <si>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</si>
  <si>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</si>
  <si>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</si>
  <si>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</si>
  <si>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</si>
  <si>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</si>
  <si>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</si>
  <si>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</si>
  <si>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</si>
  <si>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</si>
  <si>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</si>
  <si>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</si>
  <si>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</si>
  <si>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</si>
  <si>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</si>
  <si>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</si>
  <si>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</si>
  <si>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</si>
  <si>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</si>
  <si>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</si>
  <si>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</si>
  <si>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</si>
  <si>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</si>
  <si>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</si>
  <si>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</si>
  <si>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</si>
  <si>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</si>
  <si>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</si>
  <si>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</si>
  <si>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</si>
  <si>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</si>
  <si>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</si>
  <si>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</si>
  <si>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</si>
  <si>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</si>
  <si>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</si>
  <si>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</si>
  <si>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</si>
  <si>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</si>
  <si>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</si>
  <si>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</si>
  <si>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</si>
  <si>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</si>
  <si>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</si>
  <si>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</si>
  <si>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</si>
  <si>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</si>
  <si>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</si>
  <si>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</si>
  <si>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</si>
  <si>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</si>
  <si>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</si>
  <si>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</si>
  <si>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</si>
  <si>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</si>
  <si>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</si>
  <si>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</si>
  <si>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</si>
  <si>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</si>
  <si>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</si>
  <si>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</si>
  <si>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</si>
  <si>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</si>
  <si>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</si>
  <si>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</si>
  <si>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</si>
  <si>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</si>
  <si>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</si>
  <si>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</si>
  <si>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</si>
  <si>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</si>
  <si>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</si>
  <si>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</si>
  <si>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</si>
  <si>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</si>
  <si>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</si>
  <si>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</si>
  <si>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</si>
  <si>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</si>
  <si>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</si>
  <si>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</si>
  <si>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</si>
  <si>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</si>
  <si>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</si>
  <si>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</si>
  <si>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</si>
  <si>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</si>
  <si>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</si>
  <si>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</si>
  <si>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</si>
  <si>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</si>
  <si>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</si>
  <si>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</si>
  <si>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</si>
  <si>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</si>
  <si>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</si>
  <si>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</si>
  <si>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</si>
  <si>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</si>
  <si>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</si>
  <si>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</si>
  <si>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69989</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</si>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</sst>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132</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3595</v>
      </c>
      <c r="E5" s="107">
        <f>SUM('Pt 2 Premium and Claims'!E$5,'Pt 2 Premium and Claims'!E$6,-'Pt 2 Premium and Claims'!E$7,-'Pt 2 Premium and Claims'!E$13,'Pt 2 Premium and Claims'!E$14:'Pt 2 Premium and Claims'!E$17)</f>
        <v>3543</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20464</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-5375</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1956</v>
      </c>
      <c r="E12" s="107">
        <f>'Pt 2 Premium and Claims'!E$54</f>
        <v>2437</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6967</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-10</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7</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-3115</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-87</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v>
      </c>
      <c r="E30" s="111">
        <v>1</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28</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27</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188</v>
      </c>
      <c r="AU45" s="114"/>
      <c r="AV45" s="114"/>
      <c r="AW45" s="319"/>
    </row>
    <row r="46" spans="1:49" x14ac:dyDescent="0.2">
      <c r="B46" s="162" t="s">
        <v>263</v>
      </c>
      <c r="C46" s="63" t="s">
        <v>20</v>
      </c>
      <c r="D46" s="110">
        <v>11</v>
      </c>
      <c r="E46" s="111">
        <v>11</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650</v>
      </c>
      <c r="AU46" s="114"/>
      <c r="AV46" s="114"/>
      <c r="AW46" s="319"/>
    </row>
    <row r="47" spans="1:49" x14ac:dyDescent="0.2">
      <c r="B47" s="162" t="s">
        <v>264</v>
      </c>
      <c r="C47" s="63" t="s">
        <v>21</v>
      </c>
      <c r="D47" s="110">
        <v>71</v>
      </c>
      <c r="E47" s="111">
        <v>71</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4030.0000000000005</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56</v>
      </c>
      <c r="E51" s="111">
        <v>56</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3193</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v>
      </c>
      <c r="E56" s="123">
        <v>3</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8</v>
      </c>
      <c r="AU56" s="124"/>
      <c r="AV56" s="124"/>
      <c r="AW56" s="310"/>
    </row>
    <row r="57" spans="2:49" x14ac:dyDescent="0.2">
      <c r="B57" s="162" t="s">
        <v>273</v>
      </c>
      <c r="C57" s="63" t="s">
        <v>25</v>
      </c>
      <c r="D57" s="125">
        <v>5</v>
      </c>
      <c r="E57" s="126">
        <v>5</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57</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v>
      </c>
      <c r="AU58" s="127"/>
      <c r="AV58" s="127"/>
      <c r="AW58" s="311"/>
    </row>
    <row r="59" spans="2:49" x14ac:dyDescent="0.2">
      <c r="B59" s="162" t="s">
        <v>275</v>
      </c>
      <c r="C59" s="63" t="s">
        <v>27</v>
      </c>
      <c r="D59" s="125">
        <v>54</v>
      </c>
      <c r="E59" s="126">
        <v>54</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727</v>
      </c>
      <c r="AU59" s="127"/>
      <c r="AV59" s="127"/>
      <c r="AW59" s="311"/>
    </row>
    <row r="60" spans="2:49" x14ac:dyDescent="0.2">
      <c r="B60" s="162" t="s">
        <v>276</v>
      </c>
      <c r="C60" s="63"/>
      <c r="D60" s="128">
        <f t="shared" ref="D60:AC60" si="0">D$59/12</f>
        <v>4.5</v>
      </c>
      <c r="E60" s="129">
        <f t="shared" si="0"/>
        <v>4.5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60.583333333333336</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599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-6873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3557</v>
      </c>
      <c r="E5" s="119">
        <v>3557</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20362</v>
      </c>
      <c r="AU5" s="120"/>
      <c r="AV5" s="313"/>
      <c r="AW5" s="318"/>
    </row>
    <row r="6" spans="2:49" x14ac:dyDescent="0.2">
      <c r="B6" s="177" t="s">
        <v>279</v>
      </c>
      <c r="C6" s="134" t="s">
        <v>8</v>
      </c>
      <c r="D6" s="110">
        <v>52</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990</v>
      </c>
      <c r="AU6" s="114"/>
      <c r="AV6" s="312"/>
      <c r="AW6" s="319"/>
    </row>
    <row r="7" spans="2:49" x14ac:dyDescent="0.2">
      <c r="B7" s="177" t="s">
        <v>280</v>
      </c>
      <c r="C7" s="134" t="s">
        <v>9</v>
      </c>
      <c r="D7" s="110">
        <v>14</v>
      </c>
      <c r="E7" s="111">
        <v>14</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888</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365</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-3309</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2341</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157994</v>
      </c>
      <c r="AU23" s="114"/>
      <c r="AV23" s="312"/>
      <c r="AW23" s="319"/>
    </row>
    <row r="24" spans="2:49" ht="28.5" customHeight="1" x14ac:dyDescent="0.2">
      <c r="B24" s="179" t="s">
        <v>114</v>
      </c>
      <c r="C24" s="134"/>
      <c r="D24" s="294"/>
      <c r="E24" s="111">
        <v>2341</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22</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964</v>
      </c>
      <c r="AU26" s="114"/>
      <c r="AV26" s="312"/>
      <c r="AW26" s="319"/>
    </row>
    <row r="27" spans="2:49" s="6" customFormat="1" ht="25.5" x14ac:dyDescent="0.2">
      <c r="B27" s="179" t="s">
        <v>85</v>
      </c>
      <c r="C27" s="134"/>
      <c r="D27" s="294"/>
      <c r="E27" s="111">
        <v>22</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137</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5958</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36</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7049</v>
      </c>
      <c r="AU30" s="114"/>
      <c r="AV30" s="312"/>
      <c r="AW30" s="319"/>
    </row>
    <row r="31" spans="2:49" s="6" customFormat="1" ht="25.5" x14ac:dyDescent="0.2">
      <c r="B31" s="179" t="s">
        <v>84</v>
      </c>
      <c r="C31" s="134"/>
      <c r="D31" s="294"/>
      <c r="E31" s="111">
        <v>36</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147</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28382</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38</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30127</v>
      </c>
      <c r="AU34" s="114"/>
      <c r="AV34" s="312"/>
      <c r="AW34" s="319"/>
    </row>
    <row r="35" spans="2:49" s="6" customFormat="1" x14ac:dyDescent="0.2">
      <c r="B35" s="179" t="s">
        <v>91</v>
      </c>
      <c r="C35" s="134"/>
      <c r="D35" s="294"/>
      <c r="E35" s="111">
        <v>38</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197</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154827</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1956</v>
      </c>
      <c r="E54" s="116">
        <f>E24+E27+E31+E35-E36+E39+E42+E45+E46-E49+E51+E52+E53</f>
        <v>2437</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6967</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7712</v>
      </c>
      <c r="D5" s="119">
        <v>32835</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7712</v>
      </c>
      <c r="D6" s="111">
        <v>32835</v>
      </c>
      <c r="E6" s="116">
        <f>SUM('Pt 1 Summary of Data'!E$12,'Pt 1 Summary of Data'!E$22)+SUM('Pt 1 Summary of Data'!G$12,'Pt 1 Summary of Data'!G$22)-SUM('Pt 1 Summary of Data'!H$12,'Pt 1 Summary of Data'!H$22)</f>
        <v>2437</v>
      </c>
      <c r="F6" s="116">
        <f t="shared" ref="F6:F11" si="0">SUM(C6:E6)</f>
        <v>42984</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7712</v>
      </c>
      <c r="D12" s="116">
        <f>SUM(D$6:D$7)+IF(AND(OR('Company Information'!$C$12="District of Columbia",'Company Information'!$C$12="Massachusetts",'Company Information'!$C$12="Vermont"),SUM($C$6:$F$11,$C$15:$F$16,$C$37:$D$37)&lt;&gt;0),SUM(I$6:I$7),0)</f>
        <v>32835</v>
      </c>
      <c r="E12" s="116">
        <f>SUM(E$6:E$7)-SUM(E$8:E$11)+IF(AND(OR('Company Information'!$C$12="District of Columbia",'Company Information'!$C$12="Massachusetts",'Company Information'!$C$12="Vermont"),SUM($C$6:$F$11,$C$15:$F$16,$C$37:$D$37)&lt;&gt;0),SUM(J$6:J$7)-SUM(J$10:J$11),0)</f>
        <v>2437</v>
      </c>
      <c r="F12" s="116">
        <f>IFERROR(SUM(C$12:E$12)+C$17*MAX(0,E$49-C$49)+D$17*MAX(0,E$49-D$49),0)</f>
        <v>42984</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3258</v>
      </c>
      <c r="D15" s="119">
        <v>2952</v>
      </c>
      <c r="E15" s="107">
        <f>SUM('Pt 1 Summary of Data'!E$5:E$7)+SUM('Pt 1 Summary of Data'!G$5:G$7)-SUM('Pt 1 Summary of Data'!H$5:H$7)-SUM(E$9:E$11)+D$55</f>
        <v>3543</v>
      </c>
      <c r="F15" s="107">
        <f>SUM(C15:E15)</f>
        <v>9753</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114</v>
      </c>
      <c r="D16" s="111">
        <v>-16144</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v>
      </c>
      <c r="F16" s="116">
        <f>SUM(C16:E16)</f>
        <v>-16029</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3144</v>
      </c>
      <c r="D17" s="116">
        <f>D$15-D$16+IF(AND(OR('Company Information'!$C$12="District of Columbia",'Company Information'!$C$12="Massachusetts",'Company Information'!$C$12="Vermont"),SUM($C$6:$F$11,$C$15:$F$16,$C$37:$D$37)&lt;&gt;0),I$15-I$16,0)</f>
        <v>19096</v>
      </c>
      <c r="E17" s="116">
        <f>E$15-E$16+IF(AND(OR('Company Information'!$C$12="District of Columbia",'Company Information'!$C$12="Massachusetts",'Company Information'!$C$12="Vermont"),SUM($C$6:$F$11,$C$15:$F$16,$C$37:$D$37)&lt;&gt;0),J$15-J$16,0)</f>
        <v>3542</v>
      </c>
      <c r="F17" s="116">
        <f>F$15-F$16+IF(AND(OR('Company Information'!$C$12="District of Columbia",'Company Information'!$C$12="Massachusetts",'Company Information'!$C$12="Vermont"),SUM($C$6:$F$11,$C$15:$F$16,$C$37:$D$37)&lt;&gt;0),K$15-K$16,0)</f>
        <v>25782</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4.92</v>
      </c>
      <c r="D37" s="123">
        <v>4.916666666666667</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4.5</v>
      </c>
      <c r="F37" s="257">
        <f>SUM(C$37:E$37)+IF(AND(OR('Company Information'!$C$12="District of Columbia",'Company Information'!$C$12="Massachusetts",'Company Information'!$C$12="Vermont"),SUM($C$6:$F$11,$C$15:$F$16,$C$37:$D$37)&lt;&gt;0,SUM(C$37:D$37)&lt;&gt;SUM(H$37:I$37)),SUM(H$37:I$37),0)</f>
        <v>14.336666666666666</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3</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