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6" i="10" s="1"/>
  <c r="W45" i="10"/>
  <c r="V45" i="10"/>
  <c r="U45" i="10"/>
  <c r="T45" i="10"/>
  <c r="T47" i="10" s="1"/>
  <c r="T50" i="10" s="1"/>
  <c r="S45" i="10"/>
  <c r="R45" i="10"/>
  <c r="Q45" i="10"/>
  <c r="P44" i="10"/>
  <c r="O44" i="10"/>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C22" i="4" s="1"/>
  <c r="AB55" i="18"/>
  <c r="AB22" i="4" s="1"/>
  <c r="AA55" i="18"/>
  <c r="AA22" i="4" s="1"/>
  <c r="Z55" i="18"/>
  <c r="Z22" i="4" s="1"/>
  <c r="Y55" i="18"/>
  <c r="X55" i="18"/>
  <c r="X22" i="4" s="1"/>
  <c r="W55" i="18"/>
  <c r="W22" i="4" s="1"/>
  <c r="V55" i="18"/>
  <c r="U55" i="18"/>
  <c r="T55" i="18"/>
  <c r="T22" i="4" s="1"/>
  <c r="S55" i="18"/>
  <c r="S22" i="4" s="1"/>
  <c r="R55" i="18"/>
  <c r="R22" i="4" s="1"/>
  <c r="Q55" i="18"/>
  <c r="Q22" i="4" s="1"/>
  <c r="P55" i="18"/>
  <c r="P22" i="4" s="1"/>
  <c r="O55" i="18"/>
  <c r="O22" i="4" s="1"/>
  <c r="N55" i="18"/>
  <c r="N22" i="4" s="1"/>
  <c r="M55" i="18"/>
  <c r="M22" i="4" s="1"/>
  <c r="L55" i="18"/>
  <c r="K55" i="18"/>
  <c r="K22" i="4" s="1"/>
  <c r="J55" i="18"/>
  <c r="J22" i="4" s="1"/>
  <c r="I55" i="18"/>
  <c r="I22" i="4" s="1"/>
  <c r="H55" i="18"/>
  <c r="H22" i="4" s="1"/>
  <c r="G55" i="18"/>
  <c r="G22" i="4" s="1"/>
  <c r="F55" i="18"/>
  <c r="F22" i="4" s="1"/>
  <c r="E55" i="18"/>
  <c r="E22" i="4" s="1"/>
  <c r="D55" i="18"/>
  <c r="AU54" i="18"/>
  <c r="AU12" i="4" s="1"/>
  <c r="AT54" i="18"/>
  <c r="AS54" i="18"/>
  <c r="AS12" i="4" s="1"/>
  <c r="AC54" i="18"/>
  <c r="AC12" i="4" s="1"/>
  <c r="AB54" i="18"/>
  <c r="AB12" i="4" s="1"/>
  <c r="AA54" i="18"/>
  <c r="AA12" i="4" s="1"/>
  <c r="Z54" i="18"/>
  <c r="Z12" i="4" s="1"/>
  <c r="Y54" i="18"/>
  <c r="Y12" i="4" s="1"/>
  <c r="X54" i="18"/>
  <c r="X12" i="4" s="1"/>
  <c r="W54" i="18"/>
  <c r="W12" i="4" s="1"/>
  <c r="V54" i="18"/>
  <c r="V12" i="4" s="1"/>
  <c r="U54" i="18"/>
  <c r="U12" i="4" s="1"/>
  <c r="T54" i="18"/>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Y22" i="4"/>
  <c r="V22" i="4"/>
  <c r="U22" i="4"/>
  <c r="L22" i="4"/>
  <c r="D22" i="4"/>
  <c r="AT12" i="4"/>
  <c r="T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T46" i="10" l="1"/>
  <c r="K15" i="10"/>
  <c r="F15" i="10"/>
  <c r="J7" i="10"/>
  <c r="X47" i="10"/>
  <c r="X50" i="10" s="1"/>
  <c r="AB38" i="10"/>
  <c r="X38" i="10"/>
  <c r="P38" i="10"/>
  <c r="L26" i="10"/>
  <c r="L30" i="10" s="1"/>
  <c r="V13" i="10"/>
  <c r="Q13" i="10"/>
  <c r="T13" i="10"/>
  <c r="U13" i="10"/>
  <c r="W13" i="10"/>
  <c r="X13" i="10"/>
  <c r="S13" i="10"/>
  <c r="R13" i="10"/>
  <c r="E7" i="10"/>
  <c r="G7" i="10"/>
  <c r="E17" i="10" l="1"/>
  <c r="K7" i="10"/>
  <c r="J17" i="10" s="1"/>
  <c r="I17" i="10"/>
  <c r="I44" i="10" s="1"/>
  <c r="J37" i="10"/>
  <c r="H17" i="10"/>
  <c r="H44" i="10" s="1"/>
  <c r="E12" i="10"/>
  <c r="J12" i="10"/>
  <c r="F7" i="10"/>
  <c r="C12" i="10" s="1"/>
  <c r="D17" i="10"/>
  <c r="D44" i="10" s="1"/>
  <c r="I12" i="10"/>
  <c r="K12" i="10" s="1"/>
  <c r="H12" i="10"/>
  <c r="K17" i="10"/>
  <c r="G29" i="10"/>
  <c r="G28" i="10"/>
  <c r="G21" i="10"/>
  <c r="G19" i="10"/>
  <c r="G20" i="10"/>
  <c r="G25" i="10"/>
  <c r="E37" i="10" l="1"/>
  <c r="D12" i="10"/>
  <c r="K37" i="10"/>
  <c r="J44" i="10"/>
  <c r="F17" i="10"/>
  <c r="C17" i="10"/>
  <c r="C44" i="10" s="1"/>
  <c r="G24" i="10"/>
  <c r="G23" i="10" s="1"/>
  <c r="G27" i="10" s="1"/>
  <c r="F37" i="10" l="1"/>
  <c r="E44" i="10"/>
  <c r="F38" i="10" s="1"/>
  <c r="K38" i="10"/>
  <c r="K52" i="10"/>
  <c r="D11" i="16" s="1"/>
  <c r="K44" i="10"/>
  <c r="K41" i="10"/>
  <c r="K51" i="10"/>
  <c r="F12" i="10"/>
  <c r="G31" i="10"/>
  <c r="G32" i="10" s="1"/>
  <c r="G33" i="10" s="1"/>
  <c r="G26" i="10"/>
  <c r="G30" i="10" s="1"/>
  <c r="K46" i="10" l="1"/>
  <c r="K47" i="10"/>
  <c r="K50" i="10" s="1"/>
  <c r="F51" i="10"/>
  <c r="F52" i="10"/>
  <c r="C11" i="16" s="1"/>
  <c r="F44" i="10"/>
  <c r="F41"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<sst xmlns="http://schemas.openxmlformats.org/spreadsheetml/2006/main" count="567" uniqueCount="506">
  <si>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</si>
  <si>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</si>
  <si>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</si>
  <si>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</si>
  <si>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</si>
  <si>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</si>
  <si>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</si>
  <si>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</si>
  <si>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</si>
  <si>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</si>
  <si>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</si>
  <si>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</si>
  <si>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</si>
  <si>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</si>
  <si>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</si>
  <si>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</si>
  <si>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</si>
  <si>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</si>
  <si>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</si>
  <si>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</si>
  <si>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</si>
  <si>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</si>
  <si>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</si>
  <si>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</si>
  <si>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</si>
  <si>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</si>
  <si>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</si>
  <si>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</si>
  <si>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</si>
  <si>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</si>
  <si>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</si>
  <si>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</si>
  <si>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</si>
  <si>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</si>
  <si>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</si>
  <si>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</si>
  <si>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</si>
  <si>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</si>
  <si>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</si>
  <si>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</si>
  <si>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</si>
  <si>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</si>
  <si>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</si>
  <si>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</si>
  <si>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</si>
  <si>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</si>
  <si>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</si>
  <si>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</si>
  <si>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</si>
  <si>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</si>
  <si>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</si>
  <si>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</si>
  <si>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</si>
  <si>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</si>
  <si>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</si>
  <si>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</si>
  <si>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</si>
  <si>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</si>
  <si>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</si>
  <si>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</si>
  <si>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</si>
  <si>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</si>
  <si>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</si>
  <si>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</si>
  <si>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</si>
  <si>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</si>
  <si>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</si>
  <si>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</si>
  <si>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</si>
  <si>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</si>
  <si>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</si>
  <si>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</si>
  <si>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</si>
  <si>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</si>
  <si>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</si>
  <si>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</si>
  <si>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</si>
  <si>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</si>
  <si>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</si>
  <si>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</si>
  <si>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</si>
  <si>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</si>
  <si>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</si>
  <si>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</si>
  <si>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</si>
  <si>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</si>
  <si>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</si>
  <si>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</si>
  <si>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</si>
  <si>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</si>
  <si>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</si>
  <si>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</si>
  <si>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</si>
  <si>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</si>
  <si>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</si>
  <si>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</si>
  <si>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</si>
  <si>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</si>
  <si>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</si>
  <si>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</si>
  <si>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</si>
  <si>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</si>
  <si>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</si>
  <si>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</si>
  <si>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</si>
  <si>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</si>
  <si>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</si>
  <si>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</si>
  <si>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</si>
  <si>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</si>
  <si>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</si>
  <si>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</si>
  <si>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</si>
  <si>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</si>
  <si>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</si>
  <si>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</si>
  <si>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</si>
  <si>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</si>
  <si>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</si>
  <si>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</si>
  <si>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</si>
  <si>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</si>
  <si>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</si>
  <si>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</si>
  <si>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</si>
  <si>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</si>
  <si>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</si>
  <si>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</si>
  <si>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</si>
  <si>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</si>
  <si>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</si>
  <si>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</si>
  <si>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</si>
  <si>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</si>
  <si>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</si>
  <si>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</si>
  <si>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</si>
  <si>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</si>
  <si>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</si>
  <si>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</si>
  <si>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</si>
  <si>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</si>
  <si>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</si>
  <si>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</si>
  <si>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</si>
  <si>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</si>
  <si>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</si>
  <si>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</si>
  <si>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</si>
  <si>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</si>
  <si>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</si>
  <si>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</si>
  <si>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</si>
  <si>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</si>
  <si>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</si>
  <si>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</si>
  <si>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</si>
  <si>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</si>
  <si>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</si>
  <si>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</si>
  <si>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</si>
  <si>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</si>
  <si>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</si>
  <si>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</si>
  <si>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</si>
  <si>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</si>
  <si>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</si>
  <si>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</si>
  <si>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</si>
  <si>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</si>
  <si>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</si>
  <si>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</si>
  <si>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</si>
  <si>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</si>
  <si>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</si>
  <si>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</si>
  <si>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</si>
  <si>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</si>
  <si>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</si>
  <si>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</si>
  <si>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</si>
  <si>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</si>
  <si>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</si>
  <si>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</si>
  <si>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</si>
  <si>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</si>
  <si>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</si>
  <si>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</si>
  <si>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</si>
  <si>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</si>
  <si>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</si>
  <si>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</si>
  <si>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</si>
  <si>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</si>
  <si>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</si>
  <si>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</si>
  <si>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</si>
  <si>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</si>
  <si>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</si>
  <si>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</si>
  <si>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</si>
  <si>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</si>
  <si>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</si>
  <si>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</si>
  <si>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</si>
  <si>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</si>
  <si>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</si>
  <si>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</si>
  <si>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</si>
  <si>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</si>
  <si>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</si>
  <si>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</si>
  <si>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</si>
  <si>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</si>
  <si>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</si>
  <si>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</si>
  <si>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</si>
  <si>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</si>
  <si>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</si>
  <si>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</si>
  <si>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</si>
  <si>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</si>
  <si>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</si>
  <si>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</si>
  <si>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</si>
  <si>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</si>
  <si>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</si>
  <si>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</si>
  <si>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</si>
  <si>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</si>
  <si>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</si>
  <si>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</si>
  <si>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</si>
  <si>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</si>
  <si>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</si>
  <si>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</si>
  <si>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</si>
  <si>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</si>
  <si>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</si>
  <si>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</si>
  <si>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</si>
  <si>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</si>
  <si>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</si>
  <si>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</si>
  <si>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</si>
  <si>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</si>
  <si>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</si>
  <si>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</si>
  <si>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</si>
  <si>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</si>
  <si>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</si>
  <si>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</si>
  <si>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</si>
  <si>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</si>
  <si>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</si>
  <si>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</si>
  <si>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</si>
  <si>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</si>
  <si>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</si>
  <si>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</si>
  <si>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</si>
  <si>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</si>
  <si>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</si>
  <si>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</si>
  <si>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</si>
  <si>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</si>
  <si>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</si>
  <si>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</si>
  <si>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</si>
  <si>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</si>
  <si>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</si>
  <si>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</si>
  <si>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</si>
  <si>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</si>
  <si>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</si>
  <si>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</si>
  <si>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</si>
  <si>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</si>
  <si>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</si>
  <si>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</si>
  <si>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</si>
  <si>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</si>
  <si>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</si>
  <si>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</si>
  <si>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</si>
  <si>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</si>
  <si>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</si>
  <si>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</si>
  <si>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</si>
  <si>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</si>
  <si>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</si>
  <si>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</si>
  <si>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</si>
  <si>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</si>
  <si>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</si>
  <si>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</si>
  <si>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</si>
  <si>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</si>
  <si>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</si>
  <si>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</si>
  <si>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</si>
  <si>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</si>
  <si>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</si>
  <si>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</si>
  <si>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</si>
  <si>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</si>
  <si>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</si>
  <si>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</si>
  <si>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</si>
  <si>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</si>
  <si>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</si>
  <si>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</si>
  <si>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</si>
  <si>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</si>
  <si>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</si>
  <si>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</si>
  <si>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</si>
  <si>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</si>
  <si>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</si>
  <si>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</si>
  <si>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</si>
  <si>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</si>
  <si>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</si>
  <si>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</si>
  <si>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</si>
  <si>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</si>
  <si>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</si>
  <si>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</si>
  <si>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</si>
  <si>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</si>
  <si>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</si>
  <si>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</si>
  <si>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</si>
  <si>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</si>
  <si>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</si>
  <si>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</si>
  <si>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</si>
  <si>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</si>
  <si>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</si>
  <si>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</si>
  <si>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</si>
  <si>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</si>
  <si>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</si>
  <si>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</si>
  <si>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</si>
  <si>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</si>
  <si>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</si>
  <si>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</si>
  <si>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</si>
  <si>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</si>
  <si>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</si>
  <si>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</si>
  <si>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</si>
  <si>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</si>
  <si>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</si>
  <si>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</si>
  <si>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</si>
  <si>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</si>
  <si>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</si>
  <si>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</si>
  <si>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</si>
  <si>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</si>
  <si>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</si>
  <si>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</si>
  <si>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</si>
  <si>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</si>
  <si>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</si>
  <si>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</si>
  <si>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</si>
  <si>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</si>
  <si>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</si>
  <si>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</si>
  <si>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</si>
  <si>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</si>
  <si>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</si>
  <si>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</si>
  <si>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</si>
  <si>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</si>
  <si>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</si>
  <si>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</si>
  <si>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</si>
  <si>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</si>
  <si>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</si>
  <si>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</si>
  <si>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</si>
  <si>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</si>
  <si>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</si>
  <si>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</si>
  <si>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</si>
  <si>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</si>
  <si>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</si>
  <si>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</si>
  <si>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</si>
  <si>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</si>
  <si>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</si>
  <si>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</si>
  <si>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</si>
  <si>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</si>
  <si>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</si>
  <si>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</si>
  <si>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</si>
  <si>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</si>
  <si>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</si>
  <si>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</si>
  <si>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</si>
  <si>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</si>
  <si>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</si>
  <si>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</si>
  <si>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</si>
  <si>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</si>
  <si>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</si>
  <si>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</si>
  <si>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</si>
  <si>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</si>
  <si>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</si>
  <si>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</si>
  <si>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</si>
  <si>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</si>
  <si>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</si>
  <si>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</si>
  <si>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</si>
  <si>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</si>
  <si>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</si>
  <si>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</si>
  <si>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</si>
  <si>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</si>
  <si>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</si>
  <si>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</si>
  <si>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</si>
  <si>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</si>
  <si>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</si>
  <si>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</si>
  <si>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</si>
  <si>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</si>
  <si>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</si>
  <si>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</si>
  <si>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</si>
  <si>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</si>
  <si>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</si>
  <si>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</si>
  <si>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</si>
  <si>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</si>
  <si>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</si>
  <si>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</si>
  <si>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</si>
  <si>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</si>
  <si>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</si>
  <si>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</si>
  <si>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</si>
  <si>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</si>
  <si>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</si>
  <si>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</si>
  <si>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</si>
  <si>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</si>
  <si>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</si>
  <si>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</si>
  <si>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</si>
  <si>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</si>
  <si>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</si>
  <si>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</si>
  <si>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</si>
  <si>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</si>
  <si>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</si>
  <si>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</si>
  <si>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</si>
  <si>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</si>
  <si>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</si>
  <si>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</si>
  <si>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</si>
  <si>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</si>
  <si>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</si>
  <si>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</si>
  <si>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</si>
  <si>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</si>
  <si>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</si>
  <si>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</si>
  <si>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</si>
  <si>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</si>
  <si>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</si>
  <si>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</si>
  <si>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</si>
  <si>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</si>
  <si>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</si>
  <si>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</si>
  <si>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</si>
  <si>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</si>
  <si>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</si>
  <si>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</si>
  <si>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</si>
  <si>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</si>
  <si>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</si>
  <si>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</si>
  <si>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</si>
  <si>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</si>
  <si>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</si>
  <si>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</si>
  <si>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</si>
  <si>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</si>
  <si>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</si>
  <si>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</si>
  <si>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</si>
  <si>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</si>
  <si>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</si>
  <si>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29905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</si>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</sst>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136</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20547</v>
      </c>
      <c r="E5" s="107">
        <f>SUM('Pt 2 Premium and Claims'!E$5,'Pt 2 Premium and Claims'!E$6,-'Pt 2 Premium and Claims'!E$7,-'Pt 2 Premium and Claims'!E$13,'Pt 2 Premium and Claims'!E$14:'Pt 2 Premium and Claims'!E$17)</f>
        <v>17913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1035817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-684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-272092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71787</v>
      </c>
      <c r="E12" s="107">
        <f>'Pt 2 Premium and Claims'!E$54</f>
        <v>91500</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1724790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-508</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376</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-771346</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-4408</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50</v>
      </c>
      <c r="E30" s="111">
        <v>50</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9</v>
      </c>
      <c r="E35" s="111">
        <v>9</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1396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1391</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57</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9517</v>
      </c>
      <c r="AU45" s="114"/>
      <c r="AV45" s="114"/>
      <c r="AW45" s="319"/>
    </row>
    <row r="46" spans="1:49" x14ac:dyDescent="0.2">
      <c r="B46" s="162" t="s">
        <v>263</v>
      </c>
      <c r="C46" s="63" t="s">
        <v>20</v>
      </c>
      <c r="D46" s="110">
        <v>579</v>
      </c>
      <c r="E46" s="111">
        <v>579</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32877</v>
      </c>
      <c r="AU46" s="114"/>
      <c r="AV46" s="114"/>
      <c r="AW46" s="319"/>
    </row>
    <row r="47" spans="1:49" x14ac:dyDescent="0.2">
      <c r="B47" s="162" t="s">
        <v>264</v>
      </c>
      <c r="C47" s="63" t="s">
        <v>21</v>
      </c>
      <c r="D47" s="110">
        <v>3594</v>
      </c>
      <c r="E47" s="111">
        <v>3594</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203989</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2847</v>
      </c>
      <c r="E51" s="111">
        <v>2847</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161596</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21</v>
      </c>
      <c r="E56" s="123">
        <v>21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530</v>
      </c>
      <c r="AU56" s="124"/>
      <c r="AV56" s="124"/>
      <c r="AW56" s="310"/>
    </row>
    <row r="57" spans="2:49" x14ac:dyDescent="0.2">
      <c r="B57" s="162" t="s">
        <v>273</v>
      </c>
      <c r="C57" s="63" t="s">
        <v>25</v>
      </c>
      <c r="D57" s="125">
        <v>32</v>
      </c>
      <c r="E57" s="126">
        <v>32</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3060</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26</v>
      </c>
      <c r="AU58" s="127"/>
      <c r="AV58" s="127"/>
      <c r="AW58" s="311"/>
    </row>
    <row r="59" spans="2:49" x14ac:dyDescent="0.2">
      <c r="B59" s="162" t="s">
        <v>275</v>
      </c>
      <c r="C59" s="63" t="s">
        <v>27</v>
      </c>
      <c r="D59" s="125">
        <v>456</v>
      </c>
      <c r="E59" s="126">
        <v>456</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39083</v>
      </c>
      <c r="AU59" s="127"/>
      <c r="AV59" s="127"/>
      <c r="AW59" s="311"/>
    </row>
    <row r="60" spans="2:49" x14ac:dyDescent="0.2">
      <c r="B60" s="162" t="s">
        <v>276</v>
      </c>
      <c r="C60" s="63"/>
      <c r="D60" s="128">
        <f t="shared" ref="D60:AC60" si="0">D$59/12</f>
        <v>38</v>
      </c>
      <c r="E60" s="129">
        <f t="shared" si="0"/>
        <v>38</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3256.9166666666665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30327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-347881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18625</v>
      </c>
      <c r="E5" s="119">
        <v>18625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1030685</v>
      </c>
      <c r="AU5" s="120"/>
      <c r="AV5" s="313"/>
      <c r="AW5" s="318"/>
    </row>
    <row r="6" spans="2:49" x14ac:dyDescent="0.2">
      <c r="B6" s="177" t="s">
        <v>279</v>
      </c>
      <c r="C6" s="134" t="s">
        <v>8</v>
      </c>
      <c r="D6" s="110">
        <v>2634</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50104</v>
      </c>
      <c r="AU6" s="114"/>
      <c r="AV6" s="312"/>
      <c r="AW6" s="319"/>
    </row>
    <row r="7" spans="2:49" x14ac:dyDescent="0.2">
      <c r="B7" s="177" t="s">
        <v>280</v>
      </c>
      <c r="C7" s="134" t="s">
        <v>9</v>
      </c>
      <c r="D7" s="110">
        <v>712</v>
      </c>
      <c r="E7" s="111">
        <v>712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44972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18461</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-167511</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67493</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32738</v>
      </c>
      <c r="AU23" s="114"/>
      <c r="AV23" s="312"/>
      <c r="AW23" s="319"/>
    </row>
    <row r="24" spans="2:49" ht="28.5" customHeight="1" x14ac:dyDescent="0.2">
      <c r="B24" s="179" t="s">
        <v>114</v>
      </c>
      <c r="C24" s="134"/>
      <c r="D24" s="294"/>
      <c r="E24" s="111">
        <v>67493</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5502</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238598</v>
      </c>
      <c r="AU26" s="114"/>
      <c r="AV26" s="312"/>
      <c r="AW26" s="319"/>
    </row>
    <row r="27" spans="2:49" s="6" customFormat="1" ht="25.5" x14ac:dyDescent="0.2">
      <c r="B27" s="179" t="s">
        <v>85</v>
      </c>
      <c r="C27" s="134"/>
      <c r="D27" s="294"/>
      <c r="E27" s="111">
        <v>5502</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5630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244140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9010</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1745405</v>
      </c>
      <c r="AU30" s="114"/>
      <c r="AV30" s="312"/>
      <c r="AW30" s="319"/>
    </row>
    <row r="31" spans="2:49" s="6" customFormat="1" ht="25.5" x14ac:dyDescent="0.2">
      <c r="B31" s="179" t="s">
        <v>84</v>
      </c>
      <c r="C31" s="134"/>
      <c r="D31" s="294"/>
      <c r="E31" s="111">
        <v>9010</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6003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1162998</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9495</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7459332</v>
      </c>
      <c r="AU34" s="114"/>
      <c r="AV34" s="312"/>
      <c r="AW34" s="319"/>
    </row>
    <row r="35" spans="2:49" s="6" customFormat="1" x14ac:dyDescent="0.2">
      <c r="B35" s="179" t="s">
        <v>91</v>
      </c>
      <c r="C35" s="134"/>
      <c r="D35" s="294"/>
      <c r="E35" s="111">
        <v>9495</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8080</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6344145</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71787</v>
      </c>
      <c r="E54" s="116">
        <f>E24+E27+E31+E35-E36+E39+E42+E45+E46-E49+E51+E52+E53</f>
        <v>91500</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1724790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157889</v>
      </c>
      <c r="D5" s="119">
        <v>460726</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157889</v>
      </c>
      <c r="D6" s="111">
        <v>460726</v>
      </c>
      <c r="E6" s="116">
        <f>SUM('Pt 1 Summary of Data'!E$12,'Pt 1 Summary of Data'!E$22)+SUM('Pt 1 Summary of Data'!G$12,'Pt 1 Summary of Data'!G$22)-SUM('Pt 1 Summary of Data'!H$12,'Pt 1 Summary of Data'!H$22)</f>
        <v>91500</v>
      </c>
      <c r="F6" s="116">
        <f t="shared" ref="F6:F11" si="0">SUM(C6:E6)</f>
        <v>710115</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157889</v>
      </c>
      <c r="D12" s="116">
        <f>SUM(D$6:D$7)+IF(AND(OR('Company Information'!$C$12="District of Columbia",'Company Information'!$C$12="Massachusetts",'Company Information'!$C$12="Vermont"),SUM($C$6:$F$11,$C$15:$F$16,$C$37:$D$37)&lt;&gt;0),SUM(I$6:I$7),0)</f>
        <v>460726</v>
      </c>
      <c r="E12" s="116">
        <f>SUM(E$6:E$7)-SUM(E$8:E$11)+IF(AND(OR('Company Information'!$C$12="District of Columbia",'Company Information'!$C$12="Massachusetts",'Company Information'!$C$12="Vermont"),SUM($C$6:$F$11,$C$15:$F$16,$C$37:$D$37)&lt;&gt;0),SUM(J$6:J$7)-SUM(J$10:J$11),0)</f>
        <v>91500</v>
      </c>
      <c r="F12" s="116">
        <f>IFERROR(SUM(C$12:E$12)+C$17*MAX(0,E$49-C$49)+D$17*MAX(0,E$49-D$49),0)</f>
        <v>710115</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35794</v>
      </c>
      <c r="D15" s="119">
        <v>28044</v>
      </c>
      <c r="E15" s="107">
        <f>SUM('Pt 1 Summary of Data'!E$5:E$7)+SUM('Pt 1 Summary of Data'!G$5:G$7)-SUM('Pt 1 Summary of Data'!H$5:H$7)-SUM(E$9:E$11)+D$55</f>
        <v>17911</v>
      </c>
      <c r="F15" s="107">
        <f>SUM(C15:E15)</f>
        <v>81749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1245</v>
      </c>
      <c r="D16" s="111">
        <v>-233042</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60</v>
      </c>
      <c r="F16" s="116">
        <f>SUM(C16:E16)</f>
        <v>-231737</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34549</v>
      </c>
      <c r="D17" s="116">
        <f>D$15-D$16+IF(AND(OR('Company Information'!$C$12="District of Columbia",'Company Information'!$C$12="Massachusetts",'Company Information'!$C$12="Vermont"),SUM($C$6:$F$11,$C$15:$F$16,$C$37:$D$37)&lt;&gt;0),I$15-I$16,0)</f>
        <v>261086</v>
      </c>
      <c r="E17" s="116">
        <f>E$15-E$16+IF(AND(OR('Company Information'!$C$12="District of Columbia",'Company Information'!$C$12="Massachusetts",'Company Information'!$C$12="Vermont"),SUM($C$6:$F$11,$C$15:$F$16,$C$37:$D$37)&lt;&gt;0),J$15-J$16,0)</f>
        <v>17851</v>
      </c>
      <c r="F17" s="116">
        <f>F$15-F$16+IF(AND(OR('Company Information'!$C$12="District of Columbia",'Company Information'!$C$12="Massachusetts",'Company Information'!$C$12="Vermont"),SUM($C$6:$F$11,$C$15:$F$16,$C$37:$D$37)&lt;&gt;0),K$15-K$16,0)</f>
        <v>313486</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49.92</v>
      </c>
      <c r="D37" s="123">
        <v>49.916666666666664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38</v>
      </c>
      <c r="F37" s="257">
        <f>SUM(C$37:E$37)+IF(AND(OR('Company Information'!$C$12="District of Columbia",'Company Information'!$C$12="Massachusetts",'Company Information'!$C$12="Vermont"),SUM($C$6:$F$11,$C$15:$F$16,$C$37:$D$37)&lt;&gt;0,SUM(C$37:D$37)&lt;&gt;SUM(H$37:I$37)),SUM(H$37:I$37),0)</f>
        <v>137.83666666666667</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