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1" i="16" l="1"/>
  <c r="H4" i="16"/>
  <c r="G4" i="16"/>
  <c r="F4" i="16"/>
  <c r="E4" i="16"/>
  <c r="D4" i="16"/>
  <c r="C4" i="16"/>
  <c r="AB52" i="10"/>
  <c r="H11" i="16" s="1"/>
  <c r="X52" i="10"/>
  <c r="G11" i="16" s="1"/>
  <c r="T52" i="10"/>
  <c r="F11" i="16" s="1"/>
  <c r="P52" i="10"/>
  <c r="AB51" i="10"/>
  <c r="X51" i="10"/>
  <c r="T51" i="10"/>
  <c r="P51" i="10"/>
  <c r="P50" i="10"/>
  <c r="P47" i="10"/>
  <c r="AB46" i="10"/>
  <c r="P46" i="10"/>
  <c r="AB45" i="10"/>
  <c r="AB47" i="10" s="1"/>
  <c r="AB50" i="10" s="1"/>
  <c r="AA45" i="10"/>
  <c r="Z45" i="10"/>
  <c r="Y45" i="10"/>
  <c r="X45" i="10"/>
  <c r="X46" i="10" s="1"/>
  <c r="W45" i="10"/>
  <c r="V45" i="10"/>
  <c r="U45" i="10"/>
  <c r="T45" i="10"/>
  <c r="T46" i="10" s="1"/>
  <c r="S45" i="10"/>
  <c r="R45" i="10"/>
  <c r="Q45" i="10"/>
  <c r="P44" i="10"/>
  <c r="O44" i="10"/>
  <c r="P38" i="10" s="1"/>
  <c r="N44" i="10"/>
  <c r="M44" i="10"/>
  <c r="AB41" i="10"/>
  <c r="X41" i="10"/>
  <c r="T41" i="10"/>
  <c r="P41" i="10"/>
  <c r="AB40" i="10"/>
  <c r="X40" i="10"/>
  <c r="T40" i="10"/>
  <c r="P40" i="10"/>
  <c r="K40" i="10"/>
  <c r="F40" i="10"/>
  <c r="AB38" i="10"/>
  <c r="AB37" i="10"/>
  <c r="AA37" i="10"/>
  <c r="X37" i="10"/>
  <c r="W37" i="10"/>
  <c r="T37" i="10"/>
  <c r="S37" i="10"/>
  <c r="P37" i="10"/>
  <c r="O37" i="10"/>
  <c r="L29" i="10"/>
  <c r="L28" i="10"/>
  <c r="L25" i="10"/>
  <c r="L21" i="10"/>
  <c r="L20" i="10"/>
  <c r="L19" i="10"/>
  <c r="L24" i="10" s="1"/>
  <c r="AB17" i="10"/>
  <c r="AA17" i="10"/>
  <c r="Z17" i="10"/>
  <c r="AB13" i="10" s="1"/>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F16" i="10"/>
  <c r="E16" i="10"/>
  <c r="AB15" i="10"/>
  <c r="AA15" i="10"/>
  <c r="X15" i="10"/>
  <c r="W15" i="10"/>
  <c r="T15" i="10"/>
  <c r="S15" i="10"/>
  <c r="P15" i="10"/>
  <c r="O15" i="10"/>
  <c r="L15" i="10"/>
  <c r="AA13" i="10"/>
  <c r="Z13" i="10"/>
  <c r="Y13" i="10"/>
  <c r="Q13"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S22" i="4" s="1"/>
  <c r="AC55" i="18"/>
  <c r="AC22" i="4" s="1"/>
  <c r="AB55" i="18"/>
  <c r="AA55" i="18"/>
  <c r="AA22" i="4" s="1"/>
  <c r="Z55" i="18"/>
  <c r="Z22" i="4" s="1"/>
  <c r="Y55" i="18"/>
  <c r="Y22" i="4" s="1"/>
  <c r="X55" i="18"/>
  <c r="X22" i="4" s="1"/>
  <c r="W55" i="18"/>
  <c r="W22" i="4" s="1"/>
  <c r="V55" i="18"/>
  <c r="V22" i="4" s="1"/>
  <c r="U55" i="18"/>
  <c r="U22" i="4" s="1"/>
  <c r="T55" i="18"/>
  <c r="T22" i="4" s="1"/>
  <c r="S55" i="18"/>
  <c r="S22" i="4" s="1"/>
  <c r="R55" i="18"/>
  <c r="R22" i="4" s="1"/>
  <c r="Q55" i="18"/>
  <c r="Q22" i="4" s="1"/>
  <c r="P55" i="18"/>
  <c r="P22" i="4" s="1"/>
  <c r="O55" i="18"/>
  <c r="O22" i="4" s="1"/>
  <c r="N55" i="18"/>
  <c r="M55" i="18"/>
  <c r="L55" i="18"/>
  <c r="L22" i="4" s="1"/>
  <c r="K55" i="18"/>
  <c r="K22" i="4" s="1"/>
  <c r="J55" i="18"/>
  <c r="J22" i="4" s="1"/>
  <c r="I55" i="18"/>
  <c r="I22" i="4" s="1"/>
  <c r="H55" i="18"/>
  <c r="H22" i="4" s="1"/>
  <c r="G55" i="18"/>
  <c r="G22" i="4" s="1"/>
  <c r="F55" i="18"/>
  <c r="F22" i="4" s="1"/>
  <c r="E55" i="18"/>
  <c r="E22" i="4" s="1"/>
  <c r="D55" i="18"/>
  <c r="D22" i="4" s="1"/>
  <c r="AU54" i="18"/>
  <c r="AU12" i="4" s="1"/>
  <c r="AT54" i="18"/>
  <c r="AT12" i="4" s="1"/>
  <c r="AS54" i="18"/>
  <c r="AS12" i="4" s="1"/>
  <c r="AC54" i="18"/>
  <c r="AB54" i="18"/>
  <c r="AB12" i="4" s="1"/>
  <c r="AA54" i="18"/>
  <c r="AA12" i="4" s="1"/>
  <c r="Z54" i="18"/>
  <c r="Z12" i="4" s="1"/>
  <c r="Y54" i="18"/>
  <c r="Y12" i="4" s="1"/>
  <c r="X54" i="18"/>
  <c r="X12" i="4" s="1"/>
  <c r="W54" i="18"/>
  <c r="W12" i="4" s="1"/>
  <c r="V54" i="18"/>
  <c r="V12" i="4" s="1"/>
  <c r="U54" i="18"/>
  <c r="U12" i="4" s="1"/>
  <c r="T54" i="18"/>
  <c r="T12" i="4" s="1"/>
  <c r="S54" i="18"/>
  <c r="S12" i="4" s="1"/>
  <c r="R54" i="18"/>
  <c r="R12" i="4" s="1"/>
  <c r="Q54" i="18"/>
  <c r="Q12" i="4" s="1"/>
  <c r="P54" i="18"/>
  <c r="P12" i="4" s="1"/>
  <c r="O54" i="18"/>
  <c r="O12" i="4" s="1"/>
  <c r="N54" i="18"/>
  <c r="N12" i="4" s="1"/>
  <c r="M54" i="18"/>
  <c r="M12" i="4" s="1"/>
  <c r="L54" i="18"/>
  <c r="L12" i="4" s="1"/>
  <c r="K54" i="18"/>
  <c r="K12" i="4" s="1"/>
  <c r="J54" i="18"/>
  <c r="J12" i="4" s="1"/>
  <c r="I54" i="18"/>
  <c r="I12" i="4" s="1"/>
  <c r="H54" i="18"/>
  <c r="H12" i="4" s="1"/>
  <c r="G54" i="18"/>
  <c r="F54" i="18"/>
  <c r="F12" i="4" s="1"/>
  <c r="E54" i="18"/>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B22" i="4"/>
  <c r="N22" i="4"/>
  <c r="M22" i="4"/>
  <c r="AC12" i="4"/>
  <c r="G12" i="4"/>
  <c r="E12" i="4"/>
  <c r="AU5" i="4"/>
  <c r="AT5" i="4"/>
  <c r="AS5" i="4"/>
  <c r="AC5" i="4"/>
  <c r="AB5" i="4"/>
  <c r="AA5" i="4"/>
  <c r="Z5" i="4"/>
  <c r="Y5" i="4"/>
  <c r="X5" i="4"/>
  <c r="W5" i="4"/>
  <c r="V5" i="4"/>
  <c r="U5" i="4"/>
  <c r="T5" i="4"/>
  <c r="S5" i="4"/>
  <c r="R5" i="4"/>
  <c r="Q5" i="4"/>
  <c r="P5" i="4"/>
  <c r="O5" i="4"/>
  <c r="N5" i="4"/>
  <c r="J7" i="10" s="1"/>
  <c r="M5" i="4"/>
  <c r="L5" i="4"/>
  <c r="K5" i="4"/>
  <c r="J15" i="10" s="1"/>
  <c r="J5" i="4"/>
  <c r="I5" i="4"/>
  <c r="G7" i="10" s="1"/>
  <c r="H5" i="4"/>
  <c r="G5" i="4"/>
  <c r="F5" i="4"/>
  <c r="E5" i="4"/>
  <c r="E15" i="10" s="1"/>
  <c r="D5" i="4"/>
  <c r="F15" i="10" l="1"/>
  <c r="K7" i="10"/>
  <c r="H17" i="10"/>
  <c r="H44" i="10" s="1"/>
  <c r="I17" i="10"/>
  <c r="I44" i="10" s="1"/>
  <c r="J37" i="10"/>
  <c r="K15" i="10"/>
  <c r="K17" i="10" s="1"/>
  <c r="J17" i="10"/>
  <c r="G15" i="10"/>
  <c r="G25" i="10" s="1"/>
  <c r="G28" i="10"/>
  <c r="X47" i="10"/>
  <c r="X50" i="10" s="1"/>
  <c r="T38" i="10"/>
  <c r="T47" i="10"/>
  <c r="T50" i="10" s="1"/>
  <c r="X38" i="10"/>
  <c r="L23" i="10"/>
  <c r="L27" i="10" s="1"/>
  <c r="L31" i="10" s="1"/>
  <c r="L32" i="10" s="1"/>
  <c r="L33" i="10" s="1"/>
  <c r="T13" i="10"/>
  <c r="P12" i="10"/>
  <c r="W13" i="10"/>
  <c r="V13" i="10"/>
  <c r="R13" i="10"/>
  <c r="J12" i="10"/>
  <c r="U13" i="10"/>
  <c r="X13" i="10"/>
  <c r="S13" i="10"/>
  <c r="I12" i="10"/>
  <c r="H12" i="10"/>
  <c r="E7" i="10"/>
  <c r="F7" i="10" l="1"/>
  <c r="C17" i="10"/>
  <c r="C44" i="10" s="1"/>
  <c r="E37" i="10"/>
  <c r="D17" i="10"/>
  <c r="D44" i="10" s="1"/>
  <c r="C12" i="10"/>
  <c r="G21" i="10"/>
  <c r="G20" i="10"/>
  <c r="G19" i="10"/>
  <c r="G24" i="10" s="1"/>
  <c r="G23" i="10" s="1"/>
  <c r="G27" i="10" s="1"/>
  <c r="J44" i="10"/>
  <c r="K37" i="10"/>
  <c r="G29" i="10"/>
  <c r="F17" i="10"/>
  <c r="L26" i="10"/>
  <c r="L30" i="10" s="1"/>
  <c r="K12" i="10"/>
  <c r="F37" i="10" l="1"/>
  <c r="K52" i="10"/>
  <c r="D11" i="16" s="1"/>
  <c r="K44" i="10"/>
  <c r="K41" i="10"/>
  <c r="K51" i="10"/>
  <c r="K38" i="10"/>
  <c r="E17" i="10"/>
  <c r="E44" i="10" s="1"/>
  <c r="E12" i="10"/>
  <c r="D12" i="10"/>
  <c r="F12" i="10" s="1"/>
  <c r="G26" i="10"/>
  <c r="G30" i="10" s="1"/>
  <c r="G31" i="10"/>
  <c r="G32" i="10" s="1"/>
  <c r="G33" i="10" s="1"/>
  <c r="K47" i="10" l="1"/>
  <c r="K50" i="10" s="1"/>
  <c r="K46" i="10"/>
  <c r="F51" i="10"/>
  <c r="F44" i="10"/>
  <c r="F52" i="10"/>
  <c r="C11" i="16" s="1"/>
  <c r="F41" i="10"/>
  <c r="F38" i="10"/>
  <c r="F47" i="10" l="1"/>
  <c r="F50" i="10" s="1"/>
  <c r="F46" i="10"/>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<sst xmlns="http://schemas.openxmlformats.org/spreadsheetml/2006/main" count="567" uniqueCount="506">
  <si>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</si>
  <si>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</si>
  <si>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</si>
  <si>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</si>
  <si>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</si>
  <si>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</si>
  <si>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</si>
  <si>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</si>
  <si>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</si>
  <si>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</si>
  <si>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</si>
  <si>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</si>
  <si>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</si>
  <si>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</si>
  <si>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</si>
  <si>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</si>
  <si>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</si>
  <si>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</si>
  <si>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</si>
  <si>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</si>
  <si>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</si>
  <si>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</si>
  <si>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</si>
  <si>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</si>
  <si>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</si>
  <si>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</si>
  <si>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</si>
  <si>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</si>
  <si>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</si>
  <si>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</si>
  <si>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</si>
  <si>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</si>
  <si>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</si>
  <si>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</si>
  <si>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</si>
  <si>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</si>
  <si>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</si>
  <si>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</si>
  <si>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</si>
  <si>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</si>
  <si>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</si>
  <si>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</si>
  <si>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</si>
  <si>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</si>
  <si>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</si>
  <si>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</si>
  <si>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</si>
  <si>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</si>
  <si>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</si>
  <si>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</si>
  <si>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</si>
  <si>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</si>
  <si>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</si>
  <si>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</si>
  <si>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</si>
  <si>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</si>
  <si>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</si>
  <si>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</si>
  <si>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</si>
  <si>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</si>
  <si>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</si>
  <si>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</si>
  <si>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</si>
  <si>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</si>
  <si>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</si>
  <si>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</si>
  <si>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</si>
  <si>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</si>
  <si>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</si>
  <si>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</si>
  <si>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</si>
  <si>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</si>
  <si>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</si>
  <si>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</si>
  <si>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</si>
  <si>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</si>
  <si>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</si>
  <si>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</si>
  <si>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</si>
  <si>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</si>
  <si>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</si>
  <si>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</si>
  <si>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</si>
  <si>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</si>
  <si>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</si>
  <si>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</si>
  <si>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</si>
  <si>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</si>
  <si>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</si>
  <si>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</si>
  <si>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</si>
  <si>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</si>
  <si>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</si>
  <si>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</si>
  <si>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</si>
  <si>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</si>
  <si>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</si>
  <si>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</si>
  <si>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</si>
  <si>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</si>
  <si>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</si>
  <si>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</si>
  <si>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</si>
  <si>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</si>
  <si>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</si>
  <si>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</si>
  <si>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</si>
  <si>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</si>
  <si>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</si>
  <si>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</si>
  <si>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</si>
  <si>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</si>
  <si>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</si>
  <si>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</si>
  <si>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</si>
  <si>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</si>
  <si>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</si>
  <si>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</si>
  <si>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</si>
  <si>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</si>
  <si>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</si>
  <si>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</si>
  <si>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</si>
  <si>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</si>
  <si>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</si>
  <si>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</si>
  <si>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</si>
  <si>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</si>
  <si>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</si>
  <si>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</si>
  <si>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</si>
  <si>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</si>
  <si>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</si>
  <si>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</si>
  <si>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</si>
  <si>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</si>
  <si>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</si>
  <si>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</si>
  <si>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</si>
  <si>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</si>
  <si>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</si>
  <si>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</si>
  <si>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</si>
  <si>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</si>
  <si>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</si>
  <si>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</si>
  <si>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</si>
  <si>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</si>
  <si>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</si>
  <si>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</si>
  <si>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</si>
  <si>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</si>
  <si>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</si>
  <si>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</si>
  <si>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</si>
  <si>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</si>
  <si>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</si>
  <si>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</si>
  <si>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</si>
  <si>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</si>
  <si>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</si>
  <si>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</si>
  <si>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</si>
  <si>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</si>
  <si>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</si>
  <si>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</si>
  <si>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</si>
  <si>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</si>
  <si>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</si>
  <si>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</si>
  <si>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</si>
  <si>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</si>
  <si>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</si>
  <si>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</si>
  <si>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</si>
  <si>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</si>
  <si>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</si>
  <si>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</si>
  <si>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</si>
  <si>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</si>
  <si>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</si>
  <si>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</si>
  <si>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</si>
  <si>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</si>
  <si>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</si>
  <si>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</si>
  <si>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</si>
  <si>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</si>
  <si>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</si>
  <si>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</si>
  <si>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</si>
  <si>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</si>
  <si>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</si>
  <si>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</si>
  <si>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</si>
  <si>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</si>
  <si>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</si>
  <si>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</si>
  <si>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</si>
  <si>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</si>
  <si>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</si>
  <si>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</si>
  <si>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</si>
  <si>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</si>
  <si>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</si>
  <si>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</si>
  <si>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</si>
  <si>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</si>
  <si>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</si>
  <si>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</si>
  <si>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</si>
  <si>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</si>
  <si>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</si>
  <si>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</si>
  <si>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</si>
  <si>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</si>
  <si>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</si>
  <si>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</si>
  <si>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</si>
  <si>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</si>
  <si>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</si>
  <si>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</si>
  <si>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</si>
  <si>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</si>
  <si>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</si>
  <si>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</si>
  <si>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</si>
  <si>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</si>
  <si>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</si>
  <si>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</si>
  <si>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</si>
  <si>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</si>
  <si>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</si>
  <si>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</si>
  <si>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</si>
  <si>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</si>
  <si>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</si>
  <si>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</si>
  <si>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</si>
  <si>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</si>
  <si>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</si>
  <si>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</si>
  <si>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</si>
  <si>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</si>
  <si>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</si>
  <si>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</si>
  <si>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</si>
  <si>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</si>
  <si>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</si>
  <si>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</si>
  <si>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</si>
  <si>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</si>
  <si>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</si>
  <si>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</si>
  <si>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</si>
  <si>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</si>
  <si>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</si>
  <si>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</si>
  <si>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</si>
  <si>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</si>
  <si>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</si>
  <si>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</si>
  <si>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</si>
  <si>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</si>
  <si>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</si>
  <si>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</si>
  <si>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</si>
  <si>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</si>
  <si>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</si>
  <si>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</si>
  <si>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</si>
  <si>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</si>
  <si>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</si>
  <si>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</si>
  <si>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</si>
  <si>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</si>
  <si>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</si>
  <si>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</si>
  <si>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</si>
  <si>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</si>
  <si>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</si>
  <si>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</si>
  <si>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</si>
  <si>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</si>
  <si>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</si>
  <si>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</si>
  <si>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</si>
  <si>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</si>
  <si>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</si>
  <si>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</si>
  <si>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</si>
  <si>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</si>
  <si>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</si>
  <si>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</si>
  <si>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</si>
  <si>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</si>
  <si>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</si>
  <si>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</si>
  <si>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</si>
  <si>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</si>
  <si>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</si>
  <si>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</si>
  <si>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</si>
  <si>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</si>
  <si>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</si>
  <si>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</si>
  <si>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</si>
  <si>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</si>
  <si>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</si>
  <si>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</si>
  <si>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</si>
  <si>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</si>
  <si>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</si>
  <si>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</si>
  <si>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</si>
  <si>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</si>
  <si>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</si>
  <si>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</si>
  <si>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</si>
  <si>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</si>
  <si>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</si>
  <si>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</si>
  <si>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</si>
  <si>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</si>
  <si>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</si>
  <si>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</si>
  <si>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</si>
  <si>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</si>
  <si>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</si>
  <si>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</si>
  <si>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</si>
  <si>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</si>
  <si>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</si>
  <si>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</si>
  <si>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</si>
  <si>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</si>
  <si>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</si>
  <si>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</si>
  <si>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</si>
  <si>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</si>
  <si>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</si>
  <si>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</si>
  <si>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</si>
  <si>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</si>
  <si>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</si>
  <si>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</si>
  <si>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</si>
  <si>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</si>
  <si>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</si>
  <si>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</si>
  <si>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</si>
  <si>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</si>
  <si>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</si>
  <si>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</si>
  <si>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</si>
  <si>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</si>
  <si>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</si>
  <si>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</si>
  <si>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</si>
  <si>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</si>
  <si>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</si>
  <si>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</si>
  <si>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</si>
  <si>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</si>
  <si>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</si>
  <si>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</si>
  <si>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</si>
  <si>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</si>
  <si>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</si>
  <si>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</si>
  <si>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</si>
  <si>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</si>
  <si>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</si>
  <si>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</si>
  <si>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</si>
  <si>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</si>
  <si>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</si>
  <si>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</si>
  <si>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</si>
  <si>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</si>
  <si>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</si>
  <si>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</si>
  <si>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</si>
  <si>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</si>
  <si>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</si>
  <si>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</si>
  <si>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</si>
  <si>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</si>
  <si>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</si>
  <si>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</si>
  <si>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</si>
  <si>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</si>
  <si>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</si>
  <si>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</si>
  <si>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</si>
  <si>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</si>
  <si>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</si>
  <si>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</si>
  <si>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</si>
  <si>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</si>
  <si>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</si>
  <si>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</si>
  <si>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</si>
  <si>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</si>
  <si>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</si>
  <si>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</si>
  <si>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</si>
  <si>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</si>
  <si>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</si>
  <si>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</si>
  <si>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</si>
  <si>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</si>
  <si>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</si>
  <si>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</si>
  <si>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</si>
  <si>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</si>
  <si>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</si>
  <si>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</si>
  <si>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</si>
  <si>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</si>
  <si>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</si>
  <si>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</si>
  <si>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</si>
  <si>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</si>
  <si>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</si>
  <si>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</si>
  <si>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</si>
  <si>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</si>
  <si>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</si>
  <si>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</si>
  <si>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</si>
  <si>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</si>
  <si>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</si>
  <si>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</si>
  <si>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</si>
  <si>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</si>
  <si>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</si>
  <si>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</si>
  <si>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</si>
  <si>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</si>
  <si>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</si>
  <si>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</si>
  <si>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</si>
  <si>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</si>
  <si>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</si>
  <si>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</si>
  <si>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</si>
  <si>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</si>
  <si>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</si>
  <si>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</si>
  <si>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</si>
  <si>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</si>
  <si>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</si>
  <si>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</si>
  <si>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</si>
  <si>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</si>
  <si>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</si>
  <si>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</si>
  <si>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</si>
  <si>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</si>
  <si>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</si>
  <si>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</si>
  <si>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</si>
  <si>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</si>
  <si>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</si>
  <si>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</si>
  <si>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</si>
  <si>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</si>
  <si>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</si>
  <si>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</si>
  <si>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</si>
  <si>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</si>
  <si>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</si>
  <si>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</si>
  <si>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</si>
  <si>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</si>
  <si>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</si>
  <si>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</si>
  <si>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</si>
  <si>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</si>
  <si>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</si>
  <si>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</si>
  <si>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</si>
  <si>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</si>
  <si>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</si>
  <si>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</si>
  <si>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</si>
  <si>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</si>
  <si>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</si>
  <si>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</si>
  <si>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</si>
  <si>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</si>
  <si>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</si>
  <si>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</si>
  <si>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Kanawha Insurance Company </t>
  </si>
  <si>
    <t>HUMANA GRP</t>
  </si>
  <si>
    <t>Humana</t>
  </si>
  <si>
    <t>119</t>
  </si>
  <si>
    <t>2014</t>
  </si>
  <si>
    <t>210 South White Street Lancaster, SC 29720</t>
  </si>
  <si>
    <t>570380426</t>
  </si>
  <si>
    <t>065110</t>
  </si>
  <si>
    <t>65110</t>
  </si>
  <si>
    <t>64364</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</si>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</sst>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504</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t="s">
        <v>503</v>
      </c>
    </row>
    <row r="12" spans="1:6" x14ac:dyDescent="0.2">
      <c r="B12" s="233" t="s">
        <v>35</v>
      </c>
      <c r="C12" s="379" t="s">
        <v>142</v>
      </c>
    </row>
    <row r="13" spans="1:6" x14ac:dyDescent="0.2">
      <c r="B13" s="233" t="s">
        <v>50</v>
      </c>
      <c r="C13" s="379" t="s">
        <v>183</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20615</v>
      </c>
      <c r="E5" s="107">
        <f>SUM('Pt 2 Premium and Claims'!E$5,'Pt 2 Premium and Claims'!E$6,-'Pt 2 Premium and Claims'!E$7,-'Pt 2 Premium and Claims'!E$13,'Pt 2 Premium and Claims'!E$14:'Pt 2 Premium and Claims'!E$17)</f>
        <v>18195</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0</v>
      </c>
      <c r="K5" s="107">
        <f>SUM('Pt 2 Premium and Claims'!K$5,'Pt 2 Premium and Claims'!K$6,-'Pt 2 Premium and Claims'!K$7,-'Pt 2 Premium and Claims'!K$13,'Pt 2 Premium and Claims'!K$14,'Pt 2 Premium and Claims'!K$16:'Pt 2 Premium and Claims'!K$17)</f>
        <v>0</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c r="AO5" s="107"/>
      <c r="AP5" s="107"/>
      <c r="AQ5" s="107"/>
      <c r="AR5" s="107"/>
      <c r="AS5" s="106">
        <f>SUM('Pt 2 Premium and Claims'!AS$5,'Pt 2 Premium and Claims'!AS$6,-'Pt 2 Premium and Claims'!AS$7,-'Pt 2 Premium and Claims'!AS$13,'Pt 2 Premium and Claims'!AS$14)</f>
        <v>0</v>
      </c>
      <c r="AT5" s="108">
        <f>SUM('Pt 2 Premium and Claims'!AT$5,'Pt 2 Premium and Claims'!AT$6,-'Pt 2 Premium and Claims'!AT$7,-'Pt 2 Premium and Claims'!AT$13,'Pt 2 Premium and Claims'!AT$14)</f>
        <v>951519</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v>-2</v>
      </c>
      <c r="E7" s="111">
        <v>-2</v>
      </c>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-628</v>
      </c>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-249948</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25807</v>
      </c>
      <c r="E12" s="107">
        <f>'Pt 2 Premium and Claims'!E$54</f>
        <v>46594</v>
      </c>
      <c r="F12" s="107">
        <f>'Pt 2 Premium and Claims'!F$54</f>
        <v>0</v>
      </c>
      <c r="G12" s="107">
        <f>'Pt 2 Premium and Claims'!G$54</f>
        <v>0</v>
      </c>
      <c r="H12" s="107">
        <f>'Pt 2 Premium and Claims'!H$54</f>
        <v>0</v>
      </c>
      <c r="I12" s="106">
        <f>'Pt 2 Premium and Claims'!I$54</f>
        <v>0</v>
      </c>
      <c r="J12" s="106">
        <f>'Pt 2 Premium and Claims'!J$54</f>
        <v>0</v>
      </c>
      <c r="K12" s="107">
        <f>'Pt 2 Premium and Claims'!K$54</f>
        <v>0</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0</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c r="AO12" s="107"/>
      <c r="AP12" s="107"/>
      <c r="AQ12" s="107"/>
      <c r="AR12" s="107"/>
      <c r="AS12" s="106">
        <f>'Pt 2 Premium and Claims'!AS$54</f>
        <v>0</v>
      </c>
      <c r="AT12" s="108">
        <f>'Pt 2 Premium and Claims'!AT$54</f>
        <v>1138230</v>
      </c>
      <c r="AU12" s="108">
        <f>'Pt 2 Premium and Claims'!AU$54</f>
        <v>0</v>
      </c>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-466</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345</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-509029</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-4049.0000000000005</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0</v>
      </c>
      <c r="K22" s="116">
        <f>'Pt 2 Premium and Claims'!K$55</f>
        <v>0</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c r="AO22" s="116"/>
      <c r="AP22" s="116"/>
      <c r="AQ22" s="116"/>
      <c r="AR22" s="116"/>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1</v>
      </c>
      <c r="E25" s="111">
        <v>1</v>
      </c>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46</v>
      </c>
      <c r="E30" s="111">
        <v>46</v>
      </c>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8</v>
      </c>
      <c r="E35" s="111">
        <v>8</v>
      </c>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v>2</v>
      </c>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1282</v>
      </c>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1278</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53</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8743</v>
      </c>
      <c r="AU45" s="114"/>
      <c r="AV45" s="114"/>
      <c r="AW45" s="319"/>
    </row>
    <row r="46" spans="1:49" x14ac:dyDescent="0.2">
      <c r="B46" s="162" t="s">
        <v>263</v>
      </c>
      <c r="C46" s="63" t="s">
        <v>20</v>
      </c>
      <c r="D46" s="110">
        <v>532</v>
      </c>
      <c r="E46" s="111">
        <v>532</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30202</v>
      </c>
      <c r="AU46" s="114"/>
      <c r="AV46" s="114"/>
      <c r="AW46" s="319"/>
    </row>
    <row r="47" spans="1:49" x14ac:dyDescent="0.2">
      <c r="B47" s="162" t="s">
        <v>264</v>
      </c>
      <c r="C47" s="63" t="s">
        <v>21</v>
      </c>
      <c r="D47" s="110">
        <v>3302</v>
      </c>
      <c r="E47" s="111">
        <v>3302</v>
      </c>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187388</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2615</v>
      </c>
      <c r="E51" s="111">
        <v>2615</v>
      </c>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148445</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18</v>
      </c>
      <c r="E56" s="123">
        <v>18</v>
      </c>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488</v>
      </c>
      <c r="AU56" s="124"/>
      <c r="AV56" s="124"/>
      <c r="AW56" s="310"/>
    </row>
    <row r="57" spans="2:49" x14ac:dyDescent="0.2">
      <c r="B57" s="162" t="s">
        <v>273</v>
      </c>
      <c r="C57" s="63" t="s">
        <v>25</v>
      </c>
      <c r="D57" s="125">
        <v>29</v>
      </c>
      <c r="E57" s="126">
        <v>29</v>
      </c>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2811</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24</v>
      </c>
      <c r="AU58" s="127"/>
      <c r="AV58" s="127"/>
      <c r="AW58" s="311"/>
    </row>
    <row r="59" spans="2:49" x14ac:dyDescent="0.2">
      <c r="B59" s="162" t="s">
        <v>275</v>
      </c>
      <c r="C59" s="63" t="s">
        <v>27</v>
      </c>
      <c r="D59" s="125">
        <v>369</v>
      </c>
      <c r="E59" s="126">
        <v>369</v>
      </c>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35952</v>
      </c>
      <c r="AU59" s="127"/>
      <c r="AV59" s="127"/>
      <c r="AW59" s="311"/>
    </row>
    <row r="60" spans="2:49" x14ac:dyDescent="0.2">
      <c r="B60" s="162" t="s">
        <v>276</v>
      </c>
      <c r="C60" s="63"/>
      <c r="D60" s="128">
        <f t="shared" ref="D60:AC60" si="0">D$59/12</f>
        <v>30.75</v>
      </c>
      <c r="E60" s="129">
        <f t="shared" si="0"/>
        <v>30.75</v>
      </c>
      <c r="F60" s="129">
        <f t="shared" si="0"/>
        <v>0</v>
      </c>
      <c r="G60" s="129">
        <f t="shared" si="0"/>
        <v>0</v>
      </c>
      <c r="H60" s="129">
        <f t="shared" si="0"/>
        <v>0</v>
      </c>
      <c r="I60" s="128">
        <f t="shared" si="0"/>
        <v>0</v>
      </c>
      <c r="J60" s="128">
        <f t="shared" si="0"/>
        <v>0</v>
      </c>
      <c r="K60" s="129">
        <f t="shared" si="0"/>
        <v>0</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c r="AO60" s="129"/>
      <c r="AP60" s="129"/>
      <c r="AQ60" s="129"/>
      <c r="AR60" s="129"/>
      <c r="AS60" s="128">
        <f>AS$59/12</f>
        <v>0</v>
      </c>
      <c r="AT60" s="130">
        <f>AT$59/12</f>
        <v>2996</v>
      </c>
      <c r="AU60" s="130">
        <f>AU$59/12</f>
        <v>0</v>
      </c>
      <c r="AV60" s="130">
        <f>AV$59/12</f>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27859</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-319569</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18849</v>
      </c>
      <c r="E5" s="119">
        <v>18849</v>
      </c>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946804</v>
      </c>
      <c r="AU5" s="120"/>
      <c r="AV5" s="313"/>
      <c r="AW5" s="318"/>
    </row>
    <row r="6" spans="2:49" x14ac:dyDescent="0.2">
      <c r="B6" s="177" t="s">
        <v>279</v>
      </c>
      <c r="C6" s="134" t="s">
        <v>8</v>
      </c>
      <c r="D6" s="110">
        <v>2420</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46027</v>
      </c>
      <c r="AU6" s="114"/>
      <c r="AV6" s="312"/>
      <c r="AW6" s="319"/>
    </row>
    <row r="7" spans="2:49" x14ac:dyDescent="0.2">
      <c r="B7" s="177" t="s">
        <v>280</v>
      </c>
      <c r="C7" s="134" t="s">
        <v>9</v>
      </c>
      <c r="D7" s="110">
        <v>654</v>
      </c>
      <c r="E7" s="111">
        <v>654</v>
      </c>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41312</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16958</v>
      </c>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-153879</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30751</v>
      </c>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3081222</v>
      </c>
      <c r="AU23" s="114"/>
      <c r="AV23" s="312"/>
      <c r="AW23" s="319"/>
    </row>
    <row r="24" spans="2:49" ht="28.5" customHeight="1" x14ac:dyDescent="0.2">
      <c r="B24" s="179" t="s">
        <v>114</v>
      </c>
      <c r="C24" s="134"/>
      <c r="D24" s="294"/>
      <c r="E24" s="111">
        <v>30751</v>
      </c>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3631</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157456</v>
      </c>
      <c r="AU26" s="114"/>
      <c r="AV26" s="312"/>
      <c r="AW26" s="319"/>
    </row>
    <row r="27" spans="2:49" s="6" customFormat="1" ht="25.5" x14ac:dyDescent="0.2">
      <c r="B27" s="179" t="s">
        <v>85</v>
      </c>
      <c r="C27" s="134"/>
      <c r="D27" s="294"/>
      <c r="E27" s="111">
        <v>3631</v>
      </c>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5937</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257424</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5946</v>
      </c>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1151834</v>
      </c>
      <c r="AU30" s="114"/>
      <c r="AV30" s="312"/>
      <c r="AW30" s="319"/>
    </row>
    <row r="31" spans="2:49" s="6" customFormat="1" ht="25.5" x14ac:dyDescent="0.2">
      <c r="B31" s="179" t="s">
        <v>84</v>
      </c>
      <c r="C31" s="134"/>
      <c r="D31" s="294"/>
      <c r="E31" s="111">
        <v>5946</v>
      </c>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6330</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1226283</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6266</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4922589</v>
      </c>
      <c r="AU34" s="114"/>
      <c r="AV34" s="312"/>
      <c r="AW34" s="319"/>
    </row>
    <row r="35" spans="2:49" s="6" customFormat="1" x14ac:dyDescent="0.2">
      <c r="B35" s="179" t="s">
        <v>91</v>
      </c>
      <c r="C35" s="134"/>
      <c r="D35" s="294"/>
      <c r="E35" s="111">
        <v>6266</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8520</v>
      </c>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6691164</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25807</v>
      </c>
      <c r="E54" s="116">
        <f>E24+E27+E31+E35-E36+E39+E42+E45+E46-E49+E51+E52+E53</f>
        <v>46594</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0</v>
      </c>
      <c r="K54" s="116">
        <f>K24+K27+K31+K35-K36+K39+K42+K45+K46-K49+K51+K52+K53</f>
        <v>0</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0</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0</v>
      </c>
      <c r="AT54" s="117">
        <f>AT23+AT26-AT28+AT30-AT32+AT34-AT36+AT38+AT41-AT43+AT45+AT46-AT47-AT49+AT50+AT51+AT52+AT53</f>
        <v>1138230</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0</v>
      </c>
      <c r="K55" s="116">
        <f t="shared" si="0"/>
        <v>0</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c r="AO55" s="116"/>
      <c r="AP55" s="116"/>
      <c r="AQ55" s="116"/>
      <c r="AR55" s="116"/>
      <c r="AS55" s="115">
        <f>MIN(MAX(0,AS56),MAX(0,AS57))</f>
        <v>0</v>
      </c>
      <c r="AT55" s="117">
        <f>MIN(MAX(0,AT56),MAX(0,AT57))</f>
        <v>0</v>
      </c>
      <c r="AU55" s="117">
        <f>MIN(MAX(0,AU56),MAX(0,AU57))</f>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32309</v>
      </c>
      <c r="D5" s="119">
        <v>12400</v>
      </c>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32309</v>
      </c>
      <c r="D6" s="111">
        <v>12400</v>
      </c>
      <c r="E6" s="116">
        <f>SUM('Pt 1 Summary of Data'!E$12,'Pt 1 Summary of Data'!E$22)+SUM('Pt 1 Summary of Data'!G$12,'Pt 1 Summary of Data'!G$22)-SUM('Pt 1 Summary of Data'!H$12,'Pt 1 Summary of Data'!H$22)</f>
        <v>46594</v>
      </c>
      <c r="F6" s="116">
        <f t="shared" ref="F6:F11" si="0">SUM(C6:E6)</f>
        <v>91303</v>
      </c>
      <c r="G6" s="117">
        <f>SUM('Pt 1 Summary of Data'!I$12,'Pt 1 Summary of Data'!I$22)</f>
        <v>0</v>
      </c>
      <c r="H6" s="110"/>
      <c r="I6" s="111"/>
      <c r="J6" s="116">
        <f>SUM('Pt 1 Summary of Data'!K$12,'Pt 1 Summary of Data'!K$22)+SUM('Pt 1 Summary of Data'!M$12,'Pt 1 Summary of Data'!M$22)-SUM('Pt 1 Summary of Data'!N$12,'Pt 1 Summary of Data'!N$22)</f>
        <v>0</v>
      </c>
      <c r="K6" s="116">
        <f>SUM(H6:J6)</f>
        <v>0</v>
      </c>
      <c r="L6" s="117">
        <f>SUM('Pt 1 Summary of Data'!O$12,'Pt 1 Summary of Data'!O$22)</f>
        <v>0</v>
      </c>
      <c r="M6" s="110"/>
      <c r="N6" s="111"/>
      <c r="O6" s="116">
        <f>SUM('Pt 1 Summary of Data'!Q$12,'Pt 1 Summary of Data'!Q$22)+SUM('Pt 1 Summary of Data'!S$12,'Pt 1 Summary of Data'!S$22)-SUM('Pt 1 Summary of Data'!T$12,'Pt 1 Summary of Data'!T$22)</f>
        <v>0</v>
      </c>
      <c r="P6" s="116">
        <f>SUM(M6:O6)</f>
        <v>0</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c r="AN6" s="254"/>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c r="I7" s="111"/>
      <c r="J7" s="116">
        <f>SUM('Pt 1 Summary of Data'!K$37:K$41)+SUM('Pt 1 Summary of Data'!M$37:M$41)-SUM('Pt 1 Summary of Data'!N$37:N$41)+MAX(0,MIN('Pt 1 Summary of Data'!K$42+'Pt 1 Summary of Data'!M$42-'Pt 1 Summary of Data'!N$42,0.3%*('Pt 1 Summary of Data'!K$5+'Pt 1 Summary of Data'!M$5-'Pt 1 Summary of Data'!N$5-SUM(J$10:J$11))))</f>
        <v>0</v>
      </c>
      <c r="K7" s="116">
        <f>SUM(H7:J7)</f>
        <v>0</v>
      </c>
      <c r="L7" s="117">
        <f>SUM('Pt 1 Summary of Data'!O$37:O$41)+MAX(0,MIN('Pt 1 Summary of Data'!O$42,0.3%*('Pt 1 Summary of Data'!O$5-L$10)))</f>
        <v>0</v>
      </c>
      <c r="M7" s="110"/>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0</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c r="AN7" s="254"/>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0</v>
      </c>
      <c r="K10" s="116">
        <f>SUM(H10:J10)</f>
        <v>0</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32309</v>
      </c>
      <c r="D12" s="116">
        <f>SUM(D$6:D$7)+IF(AND(OR('Company Information'!$C$12="District of Columbia",'Company Information'!$C$12="Massachusetts",'Company Information'!$C$12="Vermont"),SUM($C$6:$F$11,$C$15:$F$16,$C$37:$D$37)&lt;&gt;0),SUM(I$6:I$7),0)</f>
        <v>12400</v>
      </c>
      <c r="E12" s="116">
        <f>SUM(E$6:E$7)-SUM(E$8:E$11)+IF(AND(OR('Company Information'!$C$12="District of Columbia",'Company Information'!$C$12="Massachusetts",'Company Information'!$C$12="Vermont"),SUM($C$6:$F$11,$C$15:$F$16,$C$37:$D$37)&lt;&gt;0),SUM(J$6:J$7)-SUM(J$10:J$11),0)</f>
        <v>46594</v>
      </c>
      <c r="F12" s="116">
        <f>IFERROR(SUM(C$12:E$12)+C$17*MAX(0,E$49-C$49)+D$17*MAX(0,E$49-D$49),0)</f>
        <v>91303</v>
      </c>
      <c r="G12" s="312"/>
      <c r="H12" s="115">
        <f>SUM(H$6:H$7)+IF(AND(OR('Company Information'!$C$12="District of Columbia",'Company Information'!$C$12="Massachusetts",'Company Information'!$C$12="Vermont"),SUM($H$6:$K$11,$H$15:$K$16,$H$37:$I$37)&lt;&gt;0),SUM(C$6:C$7),0)</f>
        <v>0</v>
      </c>
      <c r="I12" s="116">
        <f>SUM(I$6:I$7)+IF(AND(OR('Company Information'!$C$12="District of Columbia",'Company Information'!$C$12="Massachusetts",'Company Information'!$C$12="Vermont"),SUM($H$6:$K$11,$H$15:$K$16,$H$37:$I$37)&lt;&gt;0),SUM(D$6:D$7),0)</f>
        <v>0</v>
      </c>
      <c r="J12" s="116">
        <f>SUM(J$6:J$7)-SUM(J$10:J$11)+IF(AND(OR('Company Information'!$C$12="District of Columbia",'Company Information'!$C$12="Massachusetts",'Company Information'!$C$12="Vermont"),SUM($H$6:$K$11,$H$15:$K$16,$H$37:$I$37)&lt;&gt;0),SUM(E$6:E$7)-SUM(E$8:E$11),0)</f>
        <v>0</v>
      </c>
      <c r="K12" s="116">
        <f>IFERROR(SUM(H$12:J$12)+H$17*MAX(0,J$49-H$49)+I$17*MAX(0,J$49-I$49),0)</f>
        <v>0</v>
      </c>
      <c r="L12" s="312"/>
      <c r="M12" s="115">
        <f>SUM(M$6:M$7)</f>
        <v>0</v>
      </c>
      <c r="N12" s="116">
        <f>SUM(N$6:N$7)</f>
        <v>0</v>
      </c>
      <c r="O12" s="116">
        <f>SUM(O$6:O$7)</f>
        <v>0</v>
      </c>
      <c r="P12" s="116">
        <f>SUM(M$12:O$12)+M$17*MAX(0,O$49-M$49)+N$17*MAX(0,O$49-N$49)</f>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25811</v>
      </c>
      <c r="D15" s="119">
        <v>19501</v>
      </c>
      <c r="E15" s="107">
        <f>SUM('Pt 1 Summary of Data'!E$5:E$7)+SUM('Pt 1 Summary of Data'!G$5:G$7)-SUM('Pt 1 Summary of Data'!H$5:H$7)-SUM(E$9:E$11)+D$55</f>
        <v>18193</v>
      </c>
      <c r="F15" s="107">
        <f>SUM(C15:E15)</f>
        <v>63505</v>
      </c>
      <c r="G15" s="108">
        <f>SUM('Pt 1 Summary of Data'!I$5:I$7)-SUM(G$9:G$10)</f>
        <v>0</v>
      </c>
      <c r="H15" s="118"/>
      <c r="I15" s="119"/>
      <c r="J15" s="107">
        <f>SUM('Pt 1 Summary of Data'!K$5:K$7)+SUM('Pt 1 Summary of Data'!M$5:M$7)-SUM('Pt 1 Summary of Data'!N$5:N$7)-SUM(J$10:J$11)+I$55</f>
        <v>0</v>
      </c>
      <c r="K15" s="107">
        <f>SUM(H15:J15)</f>
        <v>0</v>
      </c>
      <c r="L15" s="108">
        <f>SUM('Pt 1 Summary of Data'!O$5:O$7)-L$10</f>
        <v>0</v>
      </c>
      <c r="M15" s="118"/>
      <c r="N15" s="119"/>
      <c r="O15" s="107">
        <f>SUM('Pt 1 Summary of Data'!Q$5:Q$7)+SUM('Pt 1 Summary of Data'!S$5:S$7)-SUM('Pt 1 Summary of Data'!T$5:T$7)+N$55</f>
        <v>0</v>
      </c>
      <c r="P15" s="107">
        <f>SUM(M15:O15)</f>
        <v>0</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c r="AN15" s="255"/>
    </row>
    <row r="16" spans="1:40" x14ac:dyDescent="0.2">
      <c r="B16" s="192" t="s">
        <v>313</v>
      </c>
      <c r="C16" s="110">
        <v>898</v>
      </c>
      <c r="D16" s="111">
        <v>-6891</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55</v>
      </c>
      <c r="F16" s="116">
        <f>SUM(C16:E16)</f>
        <v>-5938</v>
      </c>
      <c r="G16" s="117">
        <f>SUM('Pt 1 Summary of Data'!I$25:I$28,'Pt 1 Summary of Data'!I$30,'Pt 1 Summary of Data'!I$34:I$35)+IF('Company Information'!$C$15="No",IF(MAX('Pt 1 Summary of Data'!I$31:I$32)=0,MIN('Pt 1 Summary of Data'!I$31:I$32),MAX('Pt 1 Summary of Data'!I$31:I$32)),SUM('Pt 1 Summary of Data'!I$31:I$32))</f>
        <v>0</v>
      </c>
      <c r="H16" s="110"/>
      <c r="I16" s="111"/>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6">
        <f>SUM(H16:J16)</f>
        <v>0</v>
      </c>
      <c r="L16" s="117">
        <f>SUM('Pt 1 Summary of Data'!O$25:O$28,'Pt 1 Summary of Data'!O$30,'Pt 1 Summary of Data'!O$34:O$35)+IF('Company Information'!$C$15="No",IF(MAX('Pt 1 Summary of Data'!O$31:O$32)=0,MIN('Pt 1 Summary of Data'!O$31:O$32),MAX('Pt 1 Summary of Data'!O$31:O$32)),SUM('Pt 1 Summary of Data'!O$31:O$32))</f>
        <v>0</v>
      </c>
      <c r="M16" s="110"/>
      <c r="N16" s="111"/>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6">
        <f>SUM(M16:O16)</f>
        <v>0</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c r="AN16" s="254"/>
    </row>
    <row r="17" spans="1:40" s="77" customFormat="1" x14ac:dyDescent="0.2">
      <c r="A17" s="144"/>
      <c r="B17" s="193" t="s">
        <v>320</v>
      </c>
      <c r="C17" s="115">
        <f>C$15-C$16+IF(AND(OR('Company Information'!$C$12="District of Columbia",'Company Information'!$C$12="Massachusetts",'Company Information'!$C$12="Vermont"),SUM($C$6:$F$11,$C$15:$F$16,$C$37:$D$37)&lt;&gt;0),H$15-H$16,0)</f>
        <v>24913</v>
      </c>
      <c r="D17" s="116">
        <f>D$15-D$16+IF(AND(OR('Company Information'!$C$12="District of Columbia",'Company Information'!$C$12="Massachusetts",'Company Information'!$C$12="Vermont"),SUM($C$6:$F$11,$C$15:$F$16,$C$37:$D$37)&lt;&gt;0),I$15-I$16,0)</f>
        <v>26392</v>
      </c>
      <c r="E17" s="116">
        <f>E$15-E$16+IF(AND(OR('Company Information'!$C$12="District of Columbia",'Company Information'!$C$12="Massachusetts",'Company Information'!$C$12="Vermont"),SUM($C$6:$F$11,$C$15:$F$16,$C$37:$D$37)&lt;&gt;0),J$15-J$16,0)</f>
        <v>18138</v>
      </c>
      <c r="F17" s="116">
        <f>F$15-F$16+IF(AND(OR('Company Information'!$C$12="District of Columbia",'Company Information'!$C$12="Massachusetts",'Company Information'!$C$12="Vermont"),SUM($C$6:$F$11,$C$15:$F$16,$C$37:$D$37)&lt;&gt;0),K$15-K$16,0)</f>
        <v>69443</v>
      </c>
      <c r="G17" s="315"/>
      <c r="H17" s="115">
        <f>H$15-H$16+IF(AND(OR('Company Information'!$C$12="District of Columbia",'Company Information'!$C$12="Massachusetts",'Company Information'!$C$12="Vermont"),SUM($H$6:$K$11,$H$15:$K$16,$H$37:$I$37)&lt;&gt;0),C$15-C$16,0)</f>
        <v>0</v>
      </c>
      <c r="I17" s="116">
        <f>I$15-I$16+IF(AND(OR('Company Information'!$C$12="District of Columbia",'Company Information'!$C$12="Massachusetts",'Company Information'!$C$12="Vermont"),SUM($H$6:$K$11,$H$15:$K$16,$H$37:$I$37)&lt;&gt;0),D$15-D$16,0)</f>
        <v>0</v>
      </c>
      <c r="J17" s="116">
        <f>J$15-J$16+IF(AND(OR('Company Information'!$C$12="District of Columbia",'Company Information'!$C$12="Massachusetts",'Company Information'!$C$12="Vermont"),SUM($H$6:$K$11,$H$15:$K$16,$H$37:$I$37)&lt;&gt;0),E$15-E$16,0)</f>
        <v>0</v>
      </c>
      <c r="K17" s="116">
        <f>K$15-K$16+IF(AND(OR('Company Information'!$C$12="District of Columbia",'Company Information'!$C$12="Massachusetts",'Company Information'!$C$12="Vermont"),SUM($H$6:$K$11,$H$15:$K$16,$H$37:$I$37)&lt;&gt;0),F$15-F$16,0)</f>
        <v>0</v>
      </c>
      <c r="L17" s="315"/>
      <c r="M17" s="115">
        <f>M$15-M$16</f>
        <v>0</v>
      </c>
      <c r="N17" s="116">
        <f>N$15-N$16</f>
        <v>0</v>
      </c>
      <c r="O17" s="116">
        <f>O$15-O$16</f>
        <v>0</v>
      </c>
      <c r="P17" s="116">
        <f>P$15-P$16</f>
        <v>0</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39.92</v>
      </c>
      <c r="D37" s="123">
        <v>39.916666666666664</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30.75</v>
      </c>
      <c r="F37" s="257">
        <f>SUM(C$37:E$37)+IF(AND(OR('Company Information'!$C$12="District of Columbia",'Company Information'!$C$12="Massachusetts",'Company Information'!$C$12="Vermont"),SUM($C$6:$F$11,$C$15:$F$16,$C$37:$D$37)&lt;&gt;0,SUM(C$37:D$37)&lt;&gt;SUM(H$37:I$37)),SUM(H$37:I$37),0)</f>
        <v>110.58666666666667</v>
      </c>
      <c r="G37" s="313"/>
      <c r="H37" s="122"/>
      <c r="I37" s="123"/>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7">
        <f>SUM(H$37:J$37)+IF(AND(OR('Company Information'!$C$12="District of Columbia",'Company Information'!$C$12="Massachusetts",'Company Information'!$C$12="Vermont"),SUM($H$6:$K$11,$H$15:$K$16,$H$37:$I$37)&lt;&gt;0,SUM(H$37:I$37)&lt;&gt;SUM(C$37:D$37)),SUM(C$37:D$37),0)</f>
        <v>0</v>
      </c>
      <c r="L37" s="313"/>
      <c r="M37" s="122"/>
      <c r="N37" s="123"/>
      <c r="O37" s="257">
        <f>('Pt 1 Summary of Data'!Q$59+'Pt 1 Summary of Data'!S$59-'Pt 1 Summary of Data'!T$59)/12</f>
        <v>0</v>
      </c>
      <c r="P37" s="257">
        <f>SUM(M$37:O$37)</f>
        <v>0</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c r="AN37" s="258"/>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t="str">
        <f>IF(OR(E$37&lt;1000,E$17&lt;=0),"",E$12/E$17)</f>
        <v/>
      </c>
      <c r="F44" s="261" t="str">
        <f>IF(OR(F$37&lt;1000,F$17&lt;=0),"",F$12/F$17)</f>
        <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c r="AM45" s="261"/>
      <c r="AN45" s="262"/>
    </row>
    <row r="46" spans="1:40" x14ac:dyDescent="0.2">
      <c r="B46" s="198" t="s">
        <v>330</v>
      </c>
      <c r="C46" s="293"/>
      <c r="D46" s="289"/>
      <c r="E46" s="289"/>
      <c r="F46" s="261" t="str">
        <f>IF(F$44="","",F$41)</f>
        <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tr">
        <f>IF(F$44="","",ROUND(F$44+MAX(0,F$46),3))</f>
        <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tr">
        <f>F$47</f>
        <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row>
    <row r="51" spans="1:40" x14ac:dyDescent="0.2">
      <c r="B51" s="196" t="s">
        <v>334</v>
      </c>
      <c r="C51" s="293"/>
      <c r="D51" s="289"/>
      <c r="E51" s="289"/>
      <c r="F51" s="116" t="str">
        <f>IF(F$37&lt;1000,"",MAX(0,E$15-E$16))</f>
        <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f>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5" sqref="B5"/>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18</v>
      </c>
      <c r="D4" s="150">
        <f>'Pt 1 Summary of Data'!$K$56+'Pt 1 Summary of Data'!$M$56-'Pt 1 Summary of Data'!$N$56</f>
        <v>0</v>
      </c>
      <c r="E4" s="150">
        <f>'Pt 1 Summary of Data'!$Q$56+'Pt 1 Summary of Data'!$S$56-'Pt 1 Summary of Data'!$T$56</f>
        <v>0</v>
      </c>
      <c r="F4" s="150">
        <f>'Pt 1 Summary of Data'!$V$56</f>
        <v>0</v>
      </c>
      <c r="G4" s="150">
        <f>'Pt 1 Summary of Data'!$Y$56</f>
        <v>0</v>
      </c>
      <c r="H4" s="150">
        <f>'Pt 1 Summary of Data'!$AB$56</f>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1">
        <v>34881</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2015-07-23T14:12:29Z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